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tabRatio="702" activeTab="2"/>
  </bookViews>
  <sheets>
    <sheet name="ESTRUCTURA oil (no)" sheetId="1" r:id="rId1"/>
    <sheet name="ESTRUCTURA gas (no)" sheetId="2" r:id="rId2"/>
    <sheet name="PRODUCCIÓN DE HC" sheetId="3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_xlnm.Print_Titles" localSheetId="0">'ESTRUCTURA oil (no)'!$5:$7</definedName>
  </definedNames>
  <calcPr fullCalcOnLoad="1"/>
</workbook>
</file>

<file path=xl/comments1.xml><?xml version="1.0" encoding="utf-8"?>
<comments xmlns="http://schemas.openxmlformats.org/spreadsheetml/2006/main">
  <authors>
    <author>MEM</author>
    <author>Ricaldi Rodriguez Merly</author>
  </authors>
  <commentList>
    <comment ref="W8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AQUI PASA DE OXY A PLUSPETROL</t>
        </r>
      </text>
    </comment>
    <comment ref="AJ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96061</t>
        </r>
      </text>
    </comment>
    <comment ref="AJ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de 95761</t>
        </r>
      </text>
    </comment>
    <comment ref="AJ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96262BPD</t>
        </r>
      </text>
    </comment>
    <comment ref="AJ96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97905BOPD</t>
        </r>
      </text>
    </comment>
    <comment ref="AJ7" authorId="1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comments2.xml><?xml version="1.0" encoding="utf-8"?>
<comments xmlns="http://schemas.openxmlformats.org/spreadsheetml/2006/main">
  <authors>
    <author>MEM</author>
    <author>Galvez Palacios Maria</author>
    <author>Ricaldi Rodriguez Merly</author>
  </authors>
  <commentList>
    <comment ref="O90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16300</t>
        </r>
      </text>
    </comment>
    <comment ref="O91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es de 17976</t>
        </r>
      </text>
    </comment>
    <comment ref="O89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este me fue 16289
</t>
        </r>
      </text>
    </comment>
    <comment ref="O92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 a esta fecha 17738</t>
        </r>
      </text>
    </comment>
    <comment ref="O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 esta fecha 18454</t>
        </r>
      </text>
    </comment>
    <comment ref="O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promedi real a la fecha
</t>
        </r>
      </text>
    </comment>
    <comment ref="O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9"/>
            <rFont val="Tahoma"/>
            <family val="2"/>
          </rPr>
          <t>Galvez Palacios Maria:</t>
        </r>
        <r>
          <rPr>
            <sz val="9"/>
            <rFont val="Tahoma"/>
            <family val="2"/>
          </rPr>
          <t xml:space="preserve">
27.03.14  FIEC</t>
        </r>
      </text>
    </comment>
    <comment ref="O4" authorId="2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<sst xmlns="http://schemas.openxmlformats.org/spreadsheetml/2006/main" count="81" uniqueCount="70">
  <si>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</si>
  <si>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</si>
  <si>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</si>
  <si>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</si>
  <si>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</si>
  <si>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</si>
  <si>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</si>
  <si>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</si>
  <si>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</si>
  <si>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</si>
  <si>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</si>
  <si>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</si>
  <si>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</si>
  <si>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</si>
  <si>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</si>
  <si>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</si>
  <si>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</si>
  <si>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</si>
  <si>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</si>
  <si>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</si>
  <si>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</si>
  <si>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</si>
  <si>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</si>
  <si>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</si>
  <si>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</si>
  <si>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</si>
  <si>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</si>
  <si>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</si>
  <si>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</si>
  <si>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</si>
  <si>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</si>
  <si>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</si>
  <si>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</si>
  <si>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</si>
  <si>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</si>
  <si>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</si>
  <si>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</si>
  <si>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</si>
  <si>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</si>
  <si>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</si>
  <si>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</si>
  <si>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</si>
  <si>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</si>
  <si>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</si>
  <si>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</si>
  <si>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</si>
  <si>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</si>
  <si>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</si>
  <si>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</si>
  <si>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</si>
  <si>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</si>
  <si>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</si>
  <si>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</si>
  <si>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</si>
  <si>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</si>
  <si>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</si>
  <si>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</si>
  <si>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</si>
  <si>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</si>
  <si>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</si>
  <si>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</si>
  <si>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</si>
  <si>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</si>
  <si>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</si>
  <si>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</si>
  <si>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</si>
  <si>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</si>
  <si>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t>PRODUCCIÓN FISCALIZADA PROMEDIO DE HIDROCARBUROS
AL 29 DE FEBRERO DEL 2020</t>
  </si>
  <si>
    <r>
      <t xml:space="preserve">COMENTARIOS:
</t>
    </r>
    <r>
      <rPr>
        <sz val="12"/>
        <color indexed="62"/>
        <rFont val="Calibri"/>
        <family val="2"/>
      </rPr>
      <t xml:space="preserve">• El promedio de la producción fiscalizada de Hidrocarburos Líquidos en el mes de febrero 2020 fue de 151,488 Bpd; superior en 5,253 Bpd comparado al mes anterior.   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</si>
  <si>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en el mes de febrero 2020 fue de 1,250 MMPCD; superior en 38 MMPCD comparado al mes anterior.</t>
    </r>
  </si>
</sst>
</file>

<file path=xl/styles.xml><?xml version="1.0" encoding="utf-8"?>
<styleSheet xmlns="http://schemas.openxmlformats.org/spreadsheetml/2006/main">
  <numFmts count="50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-* #,##0\ _S_/_._-;\-* #,##0\ _S_/_._-;_-* &quot;-&quot;\ _S_/_._-;_-@_-"/>
    <numFmt numFmtId="199" formatCode="_-* #,##0.00\ _S_/_._-;\-* #,##0.00\ _S_/_._-;_-* &quot;-&quot;??\ _S_/_._-;_-@_-"/>
    <numFmt numFmtId="200" formatCode="0.000"/>
    <numFmt numFmtId="201" formatCode="0.0"/>
    <numFmt numFmtId="202" formatCode="#,##0.0"/>
    <numFmt numFmtId="203" formatCode="_-* #,##0\ _S_/_._-;\-* #,##0\ _S_/_._-;_-* &quot;-&quot;??\ _S_/_._-;_-@_-"/>
    <numFmt numFmtId="204" formatCode="0.0000"/>
    <numFmt numFmtId="205" formatCode="#.##0\.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5.5"/>
      <color indexed="8"/>
      <name val="Calibri"/>
      <family val="2"/>
    </font>
    <font>
      <sz val="5.5"/>
      <color indexed="60"/>
      <name val="Calibri"/>
      <family val="2"/>
    </font>
    <font>
      <sz val="5.5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13"/>
      <color indexed="6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  <font>
      <b/>
      <u val="single"/>
      <sz val="12"/>
      <color indexed="56"/>
      <name val="Calibri"/>
      <family val="2"/>
    </font>
    <font>
      <b/>
      <u val="single"/>
      <sz val="10"/>
      <name val="Calibri"/>
      <family val="2"/>
    </font>
    <font>
      <b/>
      <sz val="16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theme="3"/>
      <name val="Calibri"/>
      <family val="2"/>
    </font>
    <font>
      <b/>
      <sz val="12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</cellStyleXfs>
  <cellXfs count="307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" fontId="7" fillId="34" borderId="11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5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17" fontId="0" fillId="35" borderId="13" xfId="0" applyNumberFormat="1" applyFill="1" applyBorder="1" applyAlignment="1">
      <alignment/>
    </xf>
    <xf numFmtId="17" fontId="0" fillId="35" borderId="10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7" fontId="0" fillId="35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49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203" fontId="0" fillId="0" borderId="0" xfId="49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49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202" fontId="0" fillId="0" borderId="0" xfId="0" applyNumberFormat="1" applyFont="1" applyFill="1" applyAlignment="1">
      <alignment horizontal="center"/>
    </xf>
    <xf numFmtId="202" fontId="0" fillId="0" borderId="0" xfId="0" applyNumberFormat="1" applyAlignment="1">
      <alignment horizontal="center"/>
    </xf>
    <xf numFmtId="202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204" fontId="0" fillId="0" borderId="0" xfId="0" applyNumberFormat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" fontId="0" fillId="35" borderId="27" xfId="0" applyNumberFormat="1" applyFill="1" applyBorder="1" applyAlignment="1">
      <alignment/>
    </xf>
    <xf numFmtId="3" fontId="0" fillId="0" borderId="28" xfId="0" applyNumberFormat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7" fontId="0" fillId="36" borderId="29" xfId="0" applyNumberFormat="1" applyFill="1" applyBorder="1" applyAlignment="1">
      <alignment/>
    </xf>
    <xf numFmtId="3" fontId="0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36" borderId="28" xfId="0" applyNumberForma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" fontId="0" fillId="36" borderId="1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1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0" fontId="2" fillId="37" borderId="0" xfId="0" applyFont="1" applyFill="1" applyAlignment="1">
      <alignment horizontal="centerContinuous"/>
    </xf>
    <xf numFmtId="0" fontId="0" fillId="37" borderId="0" xfId="0" applyFont="1" applyFill="1" applyAlignment="1">
      <alignment horizontal="centerContinuous"/>
    </xf>
    <xf numFmtId="0" fontId="2" fillId="37" borderId="0" xfId="0" applyFont="1" applyFill="1" applyAlignment="1">
      <alignment horizontal="centerContinuous"/>
    </xf>
    <xf numFmtId="0" fontId="0" fillId="37" borderId="0" xfId="0" applyFill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 wrapText="1"/>
    </xf>
    <xf numFmtId="3" fontId="5" fillId="37" borderId="10" xfId="0" applyNumberFormat="1" applyFont="1" applyFill="1" applyBorder="1" applyAlignment="1">
      <alignment horizontal="center" wrapText="1"/>
    </xf>
    <xf numFmtId="3" fontId="6" fillId="37" borderId="10" xfId="0" applyNumberFormat="1" applyFont="1" applyFill="1" applyBorder="1" applyAlignment="1">
      <alignment horizontal="center" wrapText="1"/>
    </xf>
    <xf numFmtId="17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200" fontId="0" fillId="37" borderId="0" xfId="0" applyNumberFormat="1" applyFill="1" applyAlignment="1">
      <alignment/>
    </xf>
    <xf numFmtId="3" fontId="0" fillId="37" borderId="10" xfId="5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17" fontId="0" fillId="37" borderId="29" xfId="0" applyNumberForma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17" fontId="0" fillId="37" borderId="0" xfId="0" applyNumberFormat="1" applyFill="1" applyBorder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201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horizontal="right"/>
    </xf>
    <xf numFmtId="202" fontId="0" fillId="37" borderId="10" xfId="0" applyNumberForma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3" fontId="0" fillId="37" borderId="16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17" fontId="0" fillId="37" borderId="31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17" fontId="2" fillId="37" borderId="11" xfId="0" applyNumberFormat="1" applyFont="1" applyFill="1" applyBorder="1" applyAlignment="1">
      <alignment/>
    </xf>
    <xf numFmtId="17" fontId="2" fillId="38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17" fontId="0" fillId="36" borderId="11" xfId="0" applyNumberFormat="1" applyFill="1" applyBorder="1" applyAlignment="1">
      <alignment/>
    </xf>
    <xf numFmtId="3" fontId="0" fillId="36" borderId="11" xfId="0" applyNumberFormat="1" applyFont="1" applyFill="1" applyBorder="1" applyAlignment="1">
      <alignment horizontal="center"/>
    </xf>
    <xf numFmtId="2" fontId="0" fillId="37" borderId="0" xfId="0" applyNumberFormat="1" applyFill="1" applyAlignment="1">
      <alignment/>
    </xf>
    <xf numFmtId="2" fontId="0" fillId="37" borderId="0" xfId="0" applyNumberFormat="1" applyFill="1" applyAlignment="1">
      <alignment horizontal="center"/>
    </xf>
    <xf numFmtId="1" fontId="0" fillId="18" borderId="0" xfId="0" applyNumberFormat="1" applyFill="1" applyBorder="1" applyAlignment="1">
      <alignment horizontal="center"/>
    </xf>
    <xf numFmtId="17" fontId="0" fillId="18" borderId="10" xfId="0" applyNumberFormat="1" applyFill="1" applyBorder="1" applyAlignment="1">
      <alignment/>
    </xf>
    <xf numFmtId="3" fontId="73" fillId="18" borderId="10" xfId="0" applyNumberFormat="1" applyFont="1" applyFill="1" applyBorder="1" applyAlignment="1">
      <alignment horizontal="center"/>
    </xf>
    <xf numFmtId="3" fontId="0" fillId="18" borderId="22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36" borderId="0" xfId="0" applyFill="1" applyAlignment="1">
      <alignment horizontal="center"/>
    </xf>
    <xf numFmtId="4" fontId="0" fillId="38" borderId="10" xfId="0" applyNumberFormat="1" applyFill="1" applyBorder="1" applyAlignment="1" quotePrefix="1">
      <alignment horizontal="center"/>
    </xf>
    <xf numFmtId="3" fontId="5" fillId="39" borderId="10" xfId="0" applyNumberFormat="1" applyFont="1" applyFill="1" applyBorder="1" applyAlignment="1">
      <alignment horizontal="center" wrapText="1"/>
    </xf>
    <xf numFmtId="17" fontId="0" fillId="18" borderId="11" xfId="0" applyNumberFormat="1" applyFill="1" applyBorder="1" applyAlignment="1">
      <alignment/>
    </xf>
    <xf numFmtId="3" fontId="73" fillId="18" borderId="11" xfId="0" applyNumberFormat="1" applyFont="1" applyFill="1" applyBorder="1" applyAlignment="1">
      <alignment horizontal="center"/>
    </xf>
    <xf numFmtId="3" fontId="0" fillId="18" borderId="32" xfId="0" applyNumberFormat="1" applyFont="1" applyFill="1" applyBorder="1" applyAlignment="1">
      <alignment horizontal="center"/>
    </xf>
    <xf numFmtId="3" fontId="73" fillId="17" borderId="10" xfId="0" applyNumberFormat="1" applyFont="1" applyFill="1" applyBorder="1" applyAlignment="1">
      <alignment horizontal="center"/>
    </xf>
    <xf numFmtId="2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0" fillId="12" borderId="10" xfId="0" applyNumberFormat="1" applyFont="1" applyFill="1" applyBorder="1" applyAlignment="1" quotePrefix="1">
      <alignment horizontal="center"/>
    </xf>
    <xf numFmtId="3" fontId="0" fillId="12" borderId="10" xfId="0" applyNumberFormat="1" applyFill="1" applyBorder="1" applyAlignment="1">
      <alignment/>
    </xf>
    <xf numFmtId="3" fontId="0" fillId="12" borderId="0" xfId="0" applyNumberFormat="1" applyFill="1" applyAlignment="1">
      <alignment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3" fontId="0" fillId="12" borderId="0" xfId="0" applyNumberFormat="1" applyFill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2" borderId="0" xfId="0" applyFill="1" applyAlignment="1">
      <alignment horizontal="center"/>
    </xf>
    <xf numFmtId="3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 horizontal="right"/>
    </xf>
    <xf numFmtId="4" fontId="0" fillId="12" borderId="10" xfId="0" applyNumberFormat="1" applyFill="1" applyBorder="1" applyAlignment="1">
      <alignment horizontal="right"/>
    </xf>
    <xf numFmtId="0" fontId="0" fillId="12" borderId="10" xfId="0" applyFill="1" applyBorder="1" applyAlignment="1">
      <alignment horizontal="right"/>
    </xf>
    <xf numFmtId="3" fontId="0" fillId="12" borderId="10" xfId="0" applyNumberFormat="1" applyFill="1" applyBorder="1" applyAlignment="1">
      <alignment horizontal="right"/>
    </xf>
    <xf numFmtId="0" fontId="0" fillId="12" borderId="0" xfId="0" applyFill="1" applyAlignment="1">
      <alignment horizontal="right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4" fontId="0" fillId="12" borderId="10" xfId="0" applyNumberFormat="1" applyFont="1" applyFill="1" applyBorder="1" applyAlignment="1" quotePrefix="1">
      <alignment horizontal="right"/>
    </xf>
    <xf numFmtId="4" fontId="0" fillId="12" borderId="29" xfId="0" applyNumberFormat="1" applyFill="1" applyBorder="1" applyAlignment="1">
      <alignment/>
    </xf>
    <xf numFmtId="4" fontId="0" fillId="12" borderId="22" xfId="0" applyNumberFormat="1" applyFill="1" applyBorder="1" applyAlignment="1">
      <alignment/>
    </xf>
    <xf numFmtId="3" fontId="0" fillId="17" borderId="10" xfId="0" applyNumberFormat="1" applyFont="1" applyFill="1" applyBorder="1" applyAlignment="1">
      <alignment horizontal="center"/>
    </xf>
    <xf numFmtId="3" fontId="0" fillId="17" borderId="10" xfId="0" applyNumberFormat="1" applyFill="1" applyBorder="1" applyAlignment="1">
      <alignment horizontal="center"/>
    </xf>
    <xf numFmtId="17" fontId="0" fillId="17" borderId="10" xfId="0" applyNumberFormat="1" applyFill="1" applyBorder="1" applyAlignment="1">
      <alignment/>
    </xf>
    <xf numFmtId="3" fontId="73" fillId="36" borderId="10" xfId="0" applyNumberFormat="1" applyFont="1" applyFill="1" applyBorder="1" applyAlignment="1">
      <alignment horizontal="center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2" fontId="0" fillId="40" borderId="0" xfId="0" applyNumberFormat="1" applyFill="1" applyAlignment="1">
      <alignment horizontal="center"/>
    </xf>
    <xf numFmtId="17" fontId="2" fillId="40" borderId="10" xfId="0" applyNumberFormat="1" applyFont="1" applyFill="1" applyBorder="1" applyAlignment="1">
      <alignment horizontal="right"/>
    </xf>
    <xf numFmtId="0" fontId="0" fillId="40" borderId="0" xfId="0" applyFill="1" applyAlignment="1">
      <alignment/>
    </xf>
    <xf numFmtId="3" fontId="0" fillId="40" borderId="0" xfId="0" applyNumberFormat="1" applyFill="1" applyAlignment="1">
      <alignment/>
    </xf>
    <xf numFmtId="4" fontId="0" fillId="40" borderId="0" xfId="0" applyNumberFormat="1" applyFill="1" applyAlignment="1">
      <alignment/>
    </xf>
    <xf numFmtId="3" fontId="0" fillId="40" borderId="11" xfId="0" applyNumberFormat="1" applyFill="1" applyBorder="1" applyAlignment="1">
      <alignment/>
    </xf>
    <xf numFmtId="3" fontId="0" fillId="40" borderId="10" xfId="0" applyNumberFormat="1" applyFill="1" applyBorder="1" applyAlignment="1">
      <alignment horizontal="right"/>
    </xf>
    <xf numFmtId="0" fontId="40" fillId="37" borderId="0" xfId="0" applyFont="1" applyFill="1" applyAlignment="1">
      <alignment/>
    </xf>
    <xf numFmtId="0" fontId="41" fillId="37" borderId="0" xfId="0" applyFont="1" applyFill="1" applyAlignment="1">
      <alignment/>
    </xf>
    <xf numFmtId="0" fontId="42" fillId="37" borderId="0" xfId="0" applyFont="1" applyFill="1" applyAlignment="1">
      <alignment/>
    </xf>
    <xf numFmtId="1" fontId="40" fillId="37" borderId="0" xfId="0" applyNumberFormat="1" applyFont="1" applyFill="1" applyAlignment="1">
      <alignment/>
    </xf>
    <xf numFmtId="0" fontId="43" fillId="37" borderId="0" xfId="0" applyFont="1" applyFill="1" applyAlignment="1">
      <alignment/>
    </xf>
    <xf numFmtId="0" fontId="40" fillId="37" borderId="0" xfId="0" applyFont="1" applyFill="1" applyBorder="1" applyAlignment="1">
      <alignment/>
    </xf>
    <xf numFmtId="0" fontId="40" fillId="37" borderId="0" xfId="0" applyFont="1" applyFill="1" applyBorder="1" applyAlignment="1">
      <alignment horizontal="center" vertical="center"/>
    </xf>
    <xf numFmtId="0" fontId="42" fillId="37" borderId="0" xfId="0" applyFont="1" applyFill="1" applyBorder="1" applyAlignment="1">
      <alignment/>
    </xf>
    <xf numFmtId="0" fontId="44" fillId="37" borderId="0" xfId="0" applyFont="1" applyFill="1" applyAlignment="1">
      <alignment/>
    </xf>
    <xf numFmtId="0" fontId="40" fillId="37" borderId="0" xfId="0" applyFont="1" applyFill="1" applyBorder="1" applyAlignment="1">
      <alignment/>
    </xf>
    <xf numFmtId="3" fontId="40" fillId="37" borderId="0" xfId="0" applyNumberFormat="1" applyFont="1" applyFill="1" applyAlignment="1">
      <alignment/>
    </xf>
    <xf numFmtId="3" fontId="44" fillId="37" borderId="0" xfId="0" applyNumberFormat="1" applyFont="1" applyFill="1" applyAlignment="1">
      <alignment/>
    </xf>
    <xf numFmtId="201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3" fontId="0" fillId="13" borderId="10" xfId="0" applyNumberFormat="1" applyFill="1" applyBorder="1" applyAlignment="1">
      <alignment horizontal="center"/>
    </xf>
    <xf numFmtId="203" fontId="0" fillId="13" borderId="10" xfId="49" applyNumberFormat="1" applyFont="1" applyFill="1" applyBorder="1" applyAlignment="1">
      <alignment/>
    </xf>
    <xf numFmtId="3" fontId="0" fillId="37" borderId="10" xfId="0" applyNumberFormat="1" applyFill="1" applyBorder="1" applyAlignment="1">
      <alignment horizontal="center"/>
    </xf>
    <xf numFmtId="4" fontId="0" fillId="16" borderId="10" xfId="0" applyNumberFormat="1" applyFill="1" applyBorder="1" applyAlignment="1">
      <alignment/>
    </xf>
    <xf numFmtId="0" fontId="0" fillId="16" borderId="10" xfId="0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/>
    </xf>
    <xf numFmtId="3" fontId="0" fillId="16" borderId="10" xfId="0" applyNumberFormat="1" applyFill="1" applyBorder="1" applyAlignment="1">
      <alignment/>
    </xf>
    <xf numFmtId="3" fontId="0" fillId="37" borderId="0" xfId="0" applyNumberFormat="1" applyFill="1" applyAlignment="1">
      <alignment horizontal="center"/>
    </xf>
    <xf numFmtId="3" fontId="0" fillId="37" borderId="0" xfId="0" applyNumberFormat="1" applyFont="1" applyFill="1" applyAlignment="1">
      <alignment horizontal="center"/>
    </xf>
    <xf numFmtId="3" fontId="0" fillId="37" borderId="0" xfId="0" applyNumberFormat="1" applyFill="1" applyAlignment="1">
      <alignment horizontal="center" vertical="center"/>
    </xf>
    <xf numFmtId="3" fontId="2" fillId="37" borderId="0" xfId="0" applyNumberFormat="1" applyFont="1" applyFill="1" applyAlignment="1">
      <alignment horizontal="center"/>
    </xf>
    <xf numFmtId="3" fontId="0" fillId="40" borderId="10" xfId="0" applyNumberFormat="1" applyFill="1" applyBorder="1" applyAlignment="1">
      <alignment horizontal="center"/>
    </xf>
    <xf numFmtId="0" fontId="0" fillId="9" borderId="0" xfId="0" applyFill="1" applyAlignment="1">
      <alignment/>
    </xf>
    <xf numFmtId="2" fontId="0" fillId="9" borderId="0" xfId="0" applyNumberFormat="1" applyFill="1" applyAlignment="1">
      <alignment horizontal="center"/>
    </xf>
    <xf numFmtId="17" fontId="2" fillId="9" borderId="10" xfId="0" applyNumberFormat="1" applyFont="1" applyFill="1" applyBorder="1" applyAlignment="1">
      <alignment horizontal="right"/>
    </xf>
    <xf numFmtId="0" fontId="0" fillId="9" borderId="10" xfId="0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 horizontal="center"/>
    </xf>
    <xf numFmtId="3" fontId="0" fillId="3" borderId="0" xfId="0" applyNumberFormat="1" applyFill="1" applyAlignment="1">
      <alignment/>
    </xf>
    <xf numFmtId="3" fontId="0" fillId="3" borderId="32" xfId="0" applyNumberFormat="1" applyFill="1" applyBorder="1" applyAlignment="1">
      <alignment/>
    </xf>
    <xf numFmtId="3" fontId="0" fillId="3" borderId="11" xfId="0" applyNumberFormat="1" applyFill="1" applyBorder="1" applyAlignment="1">
      <alignment horizontal="center"/>
    </xf>
    <xf numFmtId="3" fontId="0" fillId="13" borderId="12" xfId="0" applyNumberForma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17" fontId="2" fillId="11" borderId="10" xfId="0" applyNumberFormat="1" applyFont="1" applyFill="1" applyBorder="1" applyAlignment="1">
      <alignment horizontal="right"/>
    </xf>
    <xf numFmtId="0" fontId="0" fillId="11" borderId="10" xfId="0" applyFill="1" applyBorder="1" applyAlignment="1">
      <alignment/>
    </xf>
    <xf numFmtId="3" fontId="0" fillId="11" borderId="10" xfId="0" applyNumberFormat="1" applyFill="1" applyBorder="1" applyAlignment="1">
      <alignment/>
    </xf>
    <xf numFmtId="3" fontId="0" fillId="11" borderId="10" xfId="0" applyNumberFormat="1" applyFill="1" applyBorder="1" applyAlignment="1">
      <alignment horizontal="center"/>
    </xf>
    <xf numFmtId="3" fontId="0" fillId="11" borderId="0" xfId="0" applyNumberFormat="1" applyFill="1" applyAlignment="1">
      <alignment/>
    </xf>
    <xf numFmtId="2" fontId="0" fillId="11" borderId="0" xfId="0" applyNumberFormat="1" applyFill="1" applyBorder="1" applyAlignment="1">
      <alignment horizontal="center"/>
    </xf>
    <xf numFmtId="17" fontId="0" fillId="11" borderId="10" xfId="0" applyNumberFormat="1" applyFill="1" applyBorder="1" applyAlignment="1">
      <alignment/>
    </xf>
    <xf numFmtId="203" fontId="0" fillId="11" borderId="10" xfId="49" applyNumberFormat="1" applyFont="1" applyFill="1" applyBorder="1" applyAlignment="1">
      <alignment/>
    </xf>
    <xf numFmtId="0" fontId="0" fillId="11" borderId="0" xfId="0" applyFill="1" applyAlignment="1">
      <alignment/>
    </xf>
    <xf numFmtId="3" fontId="0" fillId="11" borderId="12" xfId="0" applyNumberFormat="1" applyFill="1" applyBorder="1" applyAlignment="1">
      <alignment horizontal="center"/>
    </xf>
    <xf numFmtId="1" fontId="0" fillId="37" borderId="29" xfId="0" applyNumberFormat="1" applyFill="1" applyBorder="1" applyAlignment="1">
      <alignment horizontal="center"/>
    </xf>
    <xf numFmtId="1" fontId="0" fillId="37" borderId="22" xfId="0" applyNumberFormat="1" applyFill="1" applyBorder="1" applyAlignment="1">
      <alignment horizontal="center"/>
    </xf>
    <xf numFmtId="4" fontId="0" fillId="37" borderId="29" xfId="0" applyNumberFormat="1" applyFill="1" applyBorder="1" applyAlignment="1">
      <alignment horizontal="center"/>
    </xf>
    <xf numFmtId="4" fontId="0" fillId="37" borderId="22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3" fontId="0" fillId="37" borderId="16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3" fontId="0" fillId="37" borderId="10" xfId="0" applyNumberFormat="1" applyFill="1" applyBorder="1" applyAlignment="1">
      <alignment horizontal="center" vertical="center"/>
    </xf>
    <xf numFmtId="4" fontId="0" fillId="38" borderId="29" xfId="0" applyNumberFormat="1" applyFill="1" applyBorder="1" applyAlignment="1">
      <alignment horizontal="center"/>
    </xf>
    <xf numFmtId="4" fontId="0" fillId="38" borderId="22" xfId="0" applyNumberFormat="1" applyFill="1" applyBorder="1" applyAlignment="1">
      <alignment horizontal="center"/>
    </xf>
    <xf numFmtId="4" fontId="0" fillId="37" borderId="31" xfId="0" applyNumberFormat="1" applyFill="1" applyBorder="1" applyAlignment="1">
      <alignment horizontal="center"/>
    </xf>
    <xf numFmtId="4" fontId="0" fillId="37" borderId="32" xfId="0" applyNumberFormat="1" applyFill="1" applyBorder="1" applyAlignment="1">
      <alignment horizontal="center"/>
    </xf>
    <xf numFmtId="4" fontId="0" fillId="12" borderId="29" xfId="0" applyNumberFormat="1" applyFill="1" applyBorder="1" applyAlignment="1">
      <alignment horizontal="center"/>
    </xf>
    <xf numFmtId="4" fontId="0" fillId="12" borderId="22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4" fillId="41" borderId="0" xfId="0" applyFont="1" applyFill="1" applyBorder="1" applyAlignment="1">
      <alignment horizontal="justify" wrapText="1"/>
    </xf>
    <xf numFmtId="0" fontId="40" fillId="41" borderId="0" xfId="0" applyFont="1" applyFill="1" applyBorder="1" applyAlignment="1">
      <alignment horizontal="justify" vertical="center" wrapText="1"/>
    </xf>
    <xf numFmtId="0" fontId="40" fillId="41" borderId="0" xfId="0" applyFont="1" applyFill="1" applyBorder="1" applyAlignment="1">
      <alignment horizontal="left" wrapText="1"/>
    </xf>
    <xf numFmtId="0" fontId="46" fillId="41" borderId="0" xfId="0" applyFont="1" applyFill="1" applyBorder="1" applyAlignment="1">
      <alignment horizontal="left" wrapText="1"/>
    </xf>
    <xf numFmtId="0" fontId="47" fillId="37" borderId="0" xfId="0" applyFont="1" applyFill="1" applyAlignment="1">
      <alignment horizontal="center" vertical="center" wrapText="1"/>
    </xf>
    <xf numFmtId="49" fontId="75" fillId="37" borderId="0" xfId="0" applyNumberFormat="1" applyFont="1" applyFill="1" applyBorder="1" applyAlignment="1">
      <alignment horizontal="justify" vertical="top" wrapText="1"/>
    </xf>
    <xf numFmtId="2" fontId="0" fillId="36" borderId="0" xfId="0" applyNumberFormat="1" applyFill="1" applyAlignment="1">
      <alignment horizontal="center"/>
    </xf>
    <xf numFmtId="17" fontId="2" fillId="36" borderId="10" xfId="0" applyNumberFormat="1" applyFont="1" applyFill="1" applyBorder="1" applyAlignment="1">
      <alignment horizontal="right"/>
    </xf>
    <xf numFmtId="3" fontId="0" fillId="36" borderId="10" xfId="0" applyNumberFormat="1" applyFill="1" applyBorder="1" applyAlignment="1">
      <alignment/>
    </xf>
    <xf numFmtId="3" fontId="0" fillId="36" borderId="0" xfId="0" applyNumberFormat="1" applyFill="1" applyAlignment="1">
      <alignment/>
    </xf>
    <xf numFmtId="3" fontId="0" fillId="36" borderId="12" xfId="0" applyNumberFormat="1" applyFill="1" applyBorder="1" applyAlignment="1">
      <alignment horizontal="center"/>
    </xf>
    <xf numFmtId="203" fontId="0" fillId="36" borderId="10" xfId="49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MAPLE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5467037"/>
        <c:axId val="6550150"/>
      </c:scatterChart>
      <c:valAx>
        <c:axId val="454670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50150"/>
        <c:crosses val="autoZero"/>
        <c:crossBetween val="midCat"/>
        <c:dispUnits/>
      </c:valAx>
      <c:valAx>
        <c:axId val="6550150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467037"/>
        <c:crosses val="autoZero"/>
        <c:crossBetween val="midCat"/>
        <c:dispUnits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OXYB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8951351"/>
        <c:axId val="60800112"/>
      </c:scatterChart>
      <c:valAx>
        <c:axId val="589513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800112"/>
        <c:crosses val="autoZero"/>
        <c:crossBetween val="midCat"/>
        <c:dispUnits/>
      </c:valAx>
      <c:valAx>
        <c:axId val="60800112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951351"/>
        <c:crosses val="autoZero"/>
        <c:crossBetween val="midCat"/>
        <c:dispUnits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FISCALIZADA PROMEDIO DE HIDROCARBUROS LÍQUIDOS* </a:t>
            </a:r>
          </a:p>
        </c:rich>
      </c:tx>
      <c:layout>
        <c:manualLayout>
          <c:xMode val="factor"/>
          <c:yMode val="factor"/>
          <c:x val="0.029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23625"/>
          <c:w val="0.91925"/>
          <c:h val="0.71375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(no)'!$C$175:$C$321</c:f>
              <c:numCache>
                <c:ptCount val="147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  <c:pt idx="120">
                  <c:v>2017.9999904000142</c:v>
                </c:pt>
                <c:pt idx="121">
                  <c:v>2018.0833237000143</c:v>
                </c:pt>
                <c:pt idx="122">
                  <c:v>2018.1666570000143</c:v>
                </c:pt>
                <c:pt idx="123">
                  <c:v>2018.2499903000144</c:v>
                </c:pt>
                <c:pt idx="124">
                  <c:v>2018.3333236000144</c:v>
                </c:pt>
                <c:pt idx="125">
                  <c:v>2018.4166569000145</c:v>
                </c:pt>
                <c:pt idx="126">
                  <c:v>2018.4999902000145</c:v>
                </c:pt>
                <c:pt idx="127">
                  <c:v>2018.5833235000146</c:v>
                </c:pt>
                <c:pt idx="128">
                  <c:v>2018.6666568000146</c:v>
                </c:pt>
                <c:pt idx="129">
                  <c:v>2018.7499901000147</c:v>
                </c:pt>
                <c:pt idx="130">
                  <c:v>2018.8333234000147</c:v>
                </c:pt>
                <c:pt idx="131">
                  <c:v>2018.9166567000148</c:v>
                </c:pt>
                <c:pt idx="132">
                  <c:v>2018.9999900000148</c:v>
                </c:pt>
                <c:pt idx="133">
                  <c:v>2019.0833233000149</c:v>
                </c:pt>
                <c:pt idx="134">
                  <c:v>2019.166656600015</c:v>
                </c:pt>
                <c:pt idx="135">
                  <c:v>2019.249989900015</c:v>
                </c:pt>
                <c:pt idx="136">
                  <c:v>2019.333323200015</c:v>
                </c:pt>
                <c:pt idx="137">
                  <c:v>2019.416656500015</c:v>
                </c:pt>
                <c:pt idx="138">
                  <c:v>2019.499989800015</c:v>
                </c:pt>
                <c:pt idx="139">
                  <c:v>2019.5833231000151</c:v>
                </c:pt>
                <c:pt idx="140">
                  <c:v>2019.6666564000152</c:v>
                </c:pt>
                <c:pt idx="141">
                  <c:v>2019.7499897000152</c:v>
                </c:pt>
                <c:pt idx="142">
                  <c:v>2019.8333230000153</c:v>
                </c:pt>
                <c:pt idx="143">
                  <c:v>2019.9166563000153</c:v>
                </c:pt>
                <c:pt idx="144">
                  <c:v>2019.9999896000154</c:v>
                </c:pt>
                <c:pt idx="145">
                  <c:v>2020.0833229000154</c:v>
                </c:pt>
                <c:pt idx="146">
                  <c:v>2020.1666562000155</c:v>
                </c:pt>
              </c:numCache>
            </c:numRef>
          </c:xVal>
          <c:yVal>
            <c:numRef>
              <c:f>'ESTRUCTURA oil (no)'!$AI$175:$AI$321</c:f>
              <c:numCache>
                <c:ptCount val="147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  <c:pt idx="120">
                  <c:v>141326</c:v>
                </c:pt>
                <c:pt idx="121">
                  <c:v>138374</c:v>
                </c:pt>
                <c:pt idx="122">
                  <c:v>101698</c:v>
                </c:pt>
                <c:pt idx="123">
                  <c:v>142289</c:v>
                </c:pt>
                <c:pt idx="124">
                  <c:v>144501</c:v>
                </c:pt>
                <c:pt idx="125">
                  <c:v>146765</c:v>
                </c:pt>
                <c:pt idx="126">
                  <c:v>137474</c:v>
                </c:pt>
                <c:pt idx="127">
                  <c:v>124379</c:v>
                </c:pt>
                <c:pt idx="128">
                  <c:v>108172</c:v>
                </c:pt>
                <c:pt idx="129">
                  <c:v>144198</c:v>
                </c:pt>
                <c:pt idx="130">
                  <c:v>138963</c:v>
                </c:pt>
                <c:pt idx="131">
                  <c:v>142919</c:v>
                </c:pt>
                <c:pt idx="132">
                  <c:v>140277</c:v>
                </c:pt>
                <c:pt idx="133">
                  <c:v>131290</c:v>
                </c:pt>
                <c:pt idx="134">
                  <c:v>142489</c:v>
                </c:pt>
                <c:pt idx="135">
                  <c:v>140094</c:v>
                </c:pt>
                <c:pt idx="136">
                  <c:v>129871</c:v>
                </c:pt>
                <c:pt idx="137">
                  <c:v>136208</c:v>
                </c:pt>
                <c:pt idx="138">
                  <c:v>136972</c:v>
                </c:pt>
                <c:pt idx="139">
                  <c:v>132067</c:v>
                </c:pt>
                <c:pt idx="140">
                  <c:v>142623</c:v>
                </c:pt>
                <c:pt idx="141">
                  <c:v>149391</c:v>
                </c:pt>
                <c:pt idx="142">
                  <c:v>138069</c:v>
                </c:pt>
                <c:pt idx="143">
                  <c:v>152710</c:v>
                </c:pt>
                <c:pt idx="144">
                  <c:v>145463</c:v>
                </c:pt>
                <c:pt idx="145">
                  <c:v>146235</c:v>
                </c:pt>
                <c:pt idx="146">
                  <c:v>151488</c:v>
                </c:pt>
              </c:numCache>
            </c:numRef>
          </c:yVal>
          <c:smooth val="0"/>
        </c:ser>
        <c:ser>
          <c:idx val="3"/>
          <c:order val="1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1"/>
              <c:delete val="1"/>
            </c:dLbl>
            <c:dLbl>
              <c:idx val="30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(no)'!$C$19:$C$321</c:f>
              <c:numCache>
                <c:ptCount val="303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  <c:pt idx="282">
                  <c:v>2018.4999902000145</c:v>
                </c:pt>
                <c:pt idx="283">
                  <c:v>2018.5833235000146</c:v>
                </c:pt>
                <c:pt idx="284">
                  <c:v>2018.6666568000146</c:v>
                </c:pt>
                <c:pt idx="285">
                  <c:v>2018.7499901000147</c:v>
                </c:pt>
                <c:pt idx="286">
                  <c:v>2018.8333234000147</c:v>
                </c:pt>
                <c:pt idx="287">
                  <c:v>2018.9166567000148</c:v>
                </c:pt>
                <c:pt idx="288">
                  <c:v>2018.9999900000148</c:v>
                </c:pt>
                <c:pt idx="289">
                  <c:v>2019.0833233000149</c:v>
                </c:pt>
                <c:pt idx="290">
                  <c:v>2019.166656600015</c:v>
                </c:pt>
                <c:pt idx="291">
                  <c:v>2019.249989900015</c:v>
                </c:pt>
                <c:pt idx="292">
                  <c:v>2019.333323200015</c:v>
                </c:pt>
                <c:pt idx="293">
                  <c:v>2019.416656500015</c:v>
                </c:pt>
                <c:pt idx="294">
                  <c:v>2019.499989800015</c:v>
                </c:pt>
                <c:pt idx="295">
                  <c:v>2019.5833231000151</c:v>
                </c:pt>
                <c:pt idx="296">
                  <c:v>2019.6666564000152</c:v>
                </c:pt>
                <c:pt idx="297">
                  <c:v>2019.7499897000152</c:v>
                </c:pt>
                <c:pt idx="298">
                  <c:v>2019.8333230000153</c:v>
                </c:pt>
                <c:pt idx="299">
                  <c:v>2019.9166563000153</c:v>
                </c:pt>
                <c:pt idx="300">
                  <c:v>2019.9999896000154</c:v>
                </c:pt>
                <c:pt idx="301">
                  <c:v>2020.0833229000154</c:v>
                </c:pt>
                <c:pt idx="302">
                  <c:v>2020.1666562000155</c:v>
                </c:pt>
              </c:numCache>
            </c:numRef>
          </c:xVal>
          <c:yVal>
            <c:numRef>
              <c:f>'ESTRUCTURA oil (no)'!$AJ$19:$AJ$321</c:f>
              <c:numCache>
                <c:ptCount val="303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132205</c:v>
                </c:pt>
                <c:pt idx="278">
                  <c:v>132205</c:v>
                </c:pt>
                <c:pt idx="279">
                  <c:v>132205</c:v>
                </c:pt>
                <c:pt idx="280">
                  <c:v>132205</c:v>
                </c:pt>
                <c:pt idx="281">
                  <c:v>132205</c:v>
                </c:pt>
                <c:pt idx="282">
                  <c:v>132205</c:v>
                </c:pt>
                <c:pt idx="283">
                  <c:v>132205</c:v>
                </c:pt>
                <c:pt idx="284">
                  <c:v>132205</c:v>
                </c:pt>
                <c:pt idx="285">
                  <c:v>132205</c:v>
                </c:pt>
                <c:pt idx="286">
                  <c:v>132205</c:v>
                </c:pt>
                <c:pt idx="287">
                  <c:v>132205</c:v>
                </c:pt>
                <c:pt idx="288">
                  <c:v>132205</c:v>
                </c:pt>
                <c:pt idx="289">
                  <c:v>139721</c:v>
                </c:pt>
                <c:pt idx="290">
                  <c:v>139721</c:v>
                </c:pt>
                <c:pt idx="291">
                  <c:v>139721</c:v>
                </c:pt>
                <c:pt idx="292">
                  <c:v>139721</c:v>
                </c:pt>
                <c:pt idx="293">
                  <c:v>139721</c:v>
                </c:pt>
                <c:pt idx="294">
                  <c:v>139721</c:v>
                </c:pt>
                <c:pt idx="295">
                  <c:v>139721</c:v>
                </c:pt>
                <c:pt idx="296">
                  <c:v>139721</c:v>
                </c:pt>
                <c:pt idx="297">
                  <c:v>139721</c:v>
                </c:pt>
                <c:pt idx="298">
                  <c:v>139721</c:v>
                </c:pt>
                <c:pt idx="299">
                  <c:v>139721</c:v>
                </c:pt>
                <c:pt idx="300">
                  <c:v>139721</c:v>
                </c:pt>
                <c:pt idx="301">
                  <c:v>148774</c:v>
                </c:pt>
                <c:pt idx="302">
                  <c:v>148774</c:v>
                </c:pt>
              </c:numCache>
            </c:numRef>
          </c:yVal>
          <c:smooth val="0"/>
        </c:ser>
        <c:axId val="10330097"/>
        <c:axId val="25862010"/>
      </c:scatterChart>
      <c:valAx>
        <c:axId val="10330097"/>
        <c:scaling>
          <c:orientation val="minMax"/>
          <c:max val="2020.2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5862010"/>
        <c:crosses val="autoZero"/>
        <c:crossBetween val="midCat"/>
        <c:dispUnits/>
        <c:majorUnit val="1"/>
        <c:minorUnit val="0.1"/>
      </c:valAx>
      <c:valAx>
        <c:axId val="25862010"/>
        <c:scaling>
          <c:orientation val="minMax"/>
          <c:max val="190000"/>
          <c:min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 </a:t>
                </a:r>
              </a:p>
            </c:rich>
          </c:tx>
          <c:layout>
            <c:manualLayout>
              <c:xMode val="factor"/>
              <c:yMode val="factor"/>
              <c:x val="0.0067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0330097"/>
        <c:crossesAt val="1995"/>
        <c:crossBetween val="midCat"/>
        <c:dispUnits/>
        <c:majorUnit val="10000"/>
        <c:minorUnit val="300"/>
      </c:valAx>
      <c:spPr>
        <a:solidFill>
          <a:srgbClr val="EEECE1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45"/>
          <c:y val="0.9425"/>
          <c:w val="0.793"/>
          <c:h val="0.0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 FISCALIZADA  PROMEDIO DE GAS NATURAL </a:t>
            </a:r>
          </a:p>
        </c:rich>
      </c:tx>
      <c:layout>
        <c:manualLayout>
          <c:xMode val="factor"/>
          <c:yMode val="factor"/>
          <c:x val="-0.0345"/>
          <c:y val="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545"/>
          <c:w val="0.9345"/>
          <c:h val="0.75375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38"/>
            <c:spPr>
              <a:solidFill>
                <a:srgbClr val="376092"/>
              </a:solidFill>
              <a:ln w="25400">
                <a:solidFill>
                  <a:srgbClr val="333399"/>
                </a:solidFill>
              </a:ln>
            </c:spPr>
            <c:marker>
              <c:symbol val="diamond"/>
              <c:size val="3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Lbls>
            <c:dLbl>
              <c:idx val="1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(no)'!$B$167:$B$318</c:f>
              <c:numCache>
                <c:ptCount val="152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  <c:pt idx="147">
                  <c:v>2019.8333230000135</c:v>
                </c:pt>
                <c:pt idx="148">
                  <c:v>2019.9166563000135</c:v>
                </c:pt>
                <c:pt idx="149">
                  <c:v>2019.9999896000136</c:v>
                </c:pt>
                <c:pt idx="150">
                  <c:v>2020.0833229000136</c:v>
                </c:pt>
                <c:pt idx="151">
                  <c:v>2020.1666562000137</c:v>
                </c:pt>
              </c:numCache>
            </c:numRef>
          </c:xVal>
          <c:yVal>
            <c:numRef>
              <c:f>'ESTRUCTURA gas (no)'!$N$167:$N$318</c:f>
              <c:numCache>
                <c:ptCount val="152"/>
                <c:pt idx="0">
                  <c:v>295526.9240064516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294884.5441935484</c:v>
                </c:pt>
                <c:pt idx="6">
                  <c:v>228311.21572580643</c:v>
                </c:pt>
                <c:pt idx="7">
                  <c:v>270696.65583793103</c:v>
                </c:pt>
                <c:pt idx="8">
                  <c:v>285538.3026580645</c:v>
                </c:pt>
                <c:pt idx="9">
                  <c:v>279469.9830033333</c:v>
                </c:pt>
                <c:pt idx="10">
                  <c:v>338840.8136</c:v>
                </c:pt>
                <c:pt idx="11">
                  <c:v>369132.2581866667</c:v>
                </c:pt>
                <c:pt idx="12">
                  <c:v>372349.50269999995</c:v>
                </c:pt>
                <c:pt idx="13">
                  <c:v>369530.2686419355</c:v>
                </c:pt>
                <c:pt idx="14">
                  <c:v>373363.58669333335</c:v>
                </c:pt>
                <c:pt idx="15">
                  <c:v>353736.3777516129</c:v>
                </c:pt>
                <c:pt idx="16">
                  <c:v>353443.18571333337</c:v>
                </c:pt>
                <c:pt idx="17">
                  <c:v>336960.7205516129</c:v>
                </c:pt>
                <c:pt idx="18">
                  <c:v>297240.60174838704</c:v>
                </c:pt>
                <c:pt idx="19">
                  <c:v>279030.5316607143</c:v>
                </c:pt>
                <c:pt idx="20">
                  <c:v>308531.12116774195</c:v>
                </c:pt>
                <c:pt idx="21">
                  <c:v>288987.47410333337</c:v>
                </c:pt>
                <c:pt idx="22">
                  <c:v>328120.9092645161</c:v>
                </c:pt>
                <c:pt idx="23">
                  <c:v>362334.3258933333</c:v>
                </c:pt>
                <c:pt idx="24">
                  <c:v>367233.2997354839</c:v>
                </c:pt>
                <c:pt idx="25">
                  <c:v>376607.9251967742</c:v>
                </c:pt>
                <c:pt idx="26">
                  <c:v>375797.3750966666</c:v>
                </c:pt>
                <c:pt idx="27">
                  <c:v>365711.78973870975</c:v>
                </c:pt>
                <c:pt idx="28">
                  <c:v>351094.47950666666</c:v>
                </c:pt>
                <c:pt idx="29">
                  <c:v>328222.2606387097</c:v>
                </c:pt>
                <c:pt idx="30">
                  <c:v>358627.645548387</c:v>
                </c:pt>
                <c:pt idx="31">
                  <c:v>382374.7167285714</c:v>
                </c:pt>
                <c:pt idx="32">
                  <c:v>382220.4680903226</c:v>
                </c:pt>
                <c:pt idx="33">
                  <c:v>358234.69937333337</c:v>
                </c:pt>
                <c:pt idx="34">
                  <c:v>438202.6746548387</c:v>
                </c:pt>
                <c:pt idx="35">
                  <c:v>700877.01615</c:v>
                </c:pt>
                <c:pt idx="36">
                  <c:v>795997.5898258063</c:v>
                </c:pt>
                <c:pt idx="37">
                  <c:v>991488.6216</c:v>
                </c:pt>
                <c:pt idx="38">
                  <c:v>900604.1575766667</c:v>
                </c:pt>
                <c:pt idx="39">
                  <c:v>984318.2109032258</c:v>
                </c:pt>
                <c:pt idx="40">
                  <c:v>1077438.4252366666</c:v>
                </c:pt>
                <c:pt idx="41">
                  <c:v>1010052.414067742</c:v>
                </c:pt>
                <c:pt idx="42">
                  <c:v>1020062.7718999999</c:v>
                </c:pt>
                <c:pt idx="43">
                  <c:v>1068669.7146285714</c:v>
                </c:pt>
                <c:pt idx="44">
                  <c:v>779592.9189612904</c:v>
                </c:pt>
                <c:pt idx="45">
                  <c:v>1034488.74642</c:v>
                </c:pt>
                <c:pt idx="46">
                  <c:v>1111928.2332000001</c:v>
                </c:pt>
                <c:pt idx="47">
                  <c:v>1065438.64383</c:v>
                </c:pt>
                <c:pt idx="48">
                  <c:v>1165948.4785064517</c:v>
                </c:pt>
                <c:pt idx="49">
                  <c:v>1221097.7096774192</c:v>
                </c:pt>
                <c:pt idx="50">
                  <c:v>1177139.2333333334</c:v>
                </c:pt>
                <c:pt idx="51">
                  <c:v>1201184.1935483871</c:v>
                </c:pt>
                <c:pt idx="52">
                  <c:v>1183811.9666666666</c:v>
                </c:pt>
                <c:pt idx="53">
                  <c:v>1158905.5161290322</c:v>
                </c:pt>
                <c:pt idx="54">
                  <c:v>1005231.5486000001</c:v>
                </c:pt>
                <c:pt idx="55">
                  <c:v>1147450.0326206896</c:v>
                </c:pt>
                <c:pt idx="56">
                  <c:v>1173210.3774612902</c:v>
                </c:pt>
                <c:pt idx="57">
                  <c:v>1089538.9046666669</c:v>
                </c:pt>
                <c:pt idx="58">
                  <c:v>1155256.8387096773</c:v>
                </c:pt>
                <c:pt idx="59">
                  <c:v>1263040.9206666665</c:v>
                </c:pt>
                <c:pt idx="60">
                  <c:v>1275361.1223999998</c:v>
                </c:pt>
                <c:pt idx="61">
                  <c:v>1236067.098548387</c:v>
                </c:pt>
                <c:pt idx="62">
                  <c:v>1257705.4482766667</c:v>
                </c:pt>
                <c:pt idx="63">
                  <c:v>1189109.7610354838</c:v>
                </c:pt>
                <c:pt idx="64">
                  <c:v>829585.1792</c:v>
                </c:pt>
                <c:pt idx="65">
                  <c:v>1105201.4856451612</c:v>
                </c:pt>
                <c:pt idx="66">
                  <c:v>1106908.1366258066</c:v>
                </c:pt>
                <c:pt idx="67">
                  <c:v>1150987.6158964287</c:v>
                </c:pt>
                <c:pt idx="68">
                  <c:v>1088732.5139290323</c:v>
                </c:pt>
                <c:pt idx="69">
                  <c:v>1120433.6716666666</c:v>
                </c:pt>
                <c:pt idx="70">
                  <c:v>1215693.6374193549</c:v>
                </c:pt>
                <c:pt idx="71">
                  <c:v>1193532.6116666666</c:v>
                </c:pt>
                <c:pt idx="72">
                  <c:v>1148883.7158064514</c:v>
                </c:pt>
                <c:pt idx="73">
                  <c:v>1269350.0551612903</c:v>
                </c:pt>
                <c:pt idx="74">
                  <c:v>1239903.2396666668</c:v>
                </c:pt>
                <c:pt idx="75">
                  <c:v>1218599.9822580644</c:v>
                </c:pt>
                <c:pt idx="76">
                  <c:v>1214291.0726666665</c:v>
                </c:pt>
                <c:pt idx="77">
                  <c:v>1186885.0792903225</c:v>
                </c:pt>
                <c:pt idx="78">
                  <c:v>1182989.967419355</c:v>
                </c:pt>
                <c:pt idx="79">
                  <c:v>1230551.1860714285</c:v>
                </c:pt>
                <c:pt idx="80">
                  <c:v>1298397.7416129033</c:v>
                </c:pt>
                <c:pt idx="81">
                  <c:v>1256754.6726666666</c:v>
                </c:pt>
                <c:pt idx="82">
                  <c:v>1174131.5496774195</c:v>
                </c:pt>
                <c:pt idx="83">
                  <c:v>1113205</c:v>
                </c:pt>
                <c:pt idx="84">
                  <c:v>1278965.3870967743</c:v>
                </c:pt>
                <c:pt idx="85">
                  <c:v>1252423.3018999998</c:v>
                </c:pt>
                <c:pt idx="86">
                  <c:v>1221616</c:v>
                </c:pt>
                <c:pt idx="87">
                  <c:v>1343678</c:v>
                </c:pt>
                <c:pt idx="88">
                  <c:v>1344885</c:v>
                </c:pt>
                <c:pt idx="89">
                  <c:v>1303533.451612903</c:v>
                </c:pt>
                <c:pt idx="90">
                  <c:v>1233309.9032258063</c:v>
                </c:pt>
                <c:pt idx="91">
                  <c:v>1235733.75</c:v>
                </c:pt>
                <c:pt idx="92">
                  <c:v>1252104.5806451612</c:v>
                </c:pt>
                <c:pt idx="93">
                  <c:v>1153490.96845</c:v>
                </c:pt>
                <c:pt idx="94">
                  <c:v>1025056.9677419355</c:v>
                </c:pt>
                <c:pt idx="95">
                  <c:v>1351609.933333333</c:v>
                </c:pt>
                <c:pt idx="96">
                  <c:v>1225001.4516129033</c:v>
                </c:pt>
                <c:pt idx="97">
                  <c:v>917233.7419354839</c:v>
                </c:pt>
                <c:pt idx="98">
                  <c:v>1066497.8676666669</c:v>
                </c:pt>
                <c:pt idx="99">
                  <c:v>1372026.7996774197</c:v>
                </c:pt>
                <c:pt idx="100">
                  <c:v>1353317.1333333333</c:v>
                </c:pt>
                <c:pt idx="101">
                  <c:v>1326580.8709677418</c:v>
                </c:pt>
                <c:pt idx="102">
                  <c:v>998675.3225806451</c:v>
                </c:pt>
                <c:pt idx="103">
                  <c:v>1063225.9688103448</c:v>
                </c:pt>
                <c:pt idx="104">
                  <c:v>1297819.6733774194</c:v>
                </c:pt>
                <c:pt idx="105">
                  <c:v>1313613.866666667</c:v>
                </c:pt>
                <c:pt idx="106">
                  <c:v>1446528.1612903227</c:v>
                </c:pt>
                <c:pt idx="107">
                  <c:v>1326088.9666666666</c:v>
                </c:pt>
                <c:pt idx="108">
                  <c:v>1512372</c:v>
                </c:pt>
                <c:pt idx="109">
                  <c:v>1468104.5245903225</c:v>
                </c:pt>
                <c:pt idx="110">
                  <c:v>1391000.0528499999</c:v>
                </c:pt>
                <c:pt idx="111">
                  <c:v>1400096.4323354836</c:v>
                </c:pt>
                <c:pt idx="112">
                  <c:v>1534268.6860233333</c:v>
                </c:pt>
                <c:pt idx="113">
                  <c:v>1445701.7787677422</c:v>
                </c:pt>
                <c:pt idx="114">
                  <c:v>1223514.5233741936</c:v>
                </c:pt>
                <c:pt idx="115">
                  <c:v>1177591.9729</c:v>
                </c:pt>
                <c:pt idx="116">
                  <c:v>1204775.2013</c:v>
                </c:pt>
                <c:pt idx="117">
                  <c:v>1143093.7067</c:v>
                </c:pt>
                <c:pt idx="118">
                  <c:v>1160523.6394</c:v>
                </c:pt>
                <c:pt idx="119">
                  <c:v>1263196.8907</c:v>
                </c:pt>
                <c:pt idx="120">
                  <c:v>1160740.9856</c:v>
                </c:pt>
                <c:pt idx="121">
                  <c:v>1370849.5386</c:v>
                </c:pt>
                <c:pt idx="122">
                  <c:v>1273395.6904</c:v>
                </c:pt>
                <c:pt idx="123">
                  <c:v>1344459.2986</c:v>
                </c:pt>
                <c:pt idx="124">
                  <c:v>1377579.1164</c:v>
                </c:pt>
                <c:pt idx="125">
                  <c:v>1320929.9458</c:v>
                </c:pt>
                <c:pt idx="126">
                  <c:v>1139326.3817</c:v>
                </c:pt>
                <c:pt idx="127">
                  <c:v>849299.3487</c:v>
                </c:pt>
                <c:pt idx="128">
                  <c:v>1163361.3285</c:v>
                </c:pt>
                <c:pt idx="129">
                  <c:v>1218079</c:v>
                </c:pt>
                <c:pt idx="130">
                  <c:v>1295738.0528</c:v>
                </c:pt>
                <c:pt idx="131">
                  <c:v>1403484.5903</c:v>
                </c:pt>
                <c:pt idx="132">
                  <c:v>1300729.2075</c:v>
                </c:pt>
                <c:pt idx="133">
                  <c:v>953869.4736</c:v>
                </c:pt>
                <c:pt idx="134">
                  <c:v>1432568.3633</c:v>
                </c:pt>
                <c:pt idx="135">
                  <c:v>1205642.645</c:v>
                </c:pt>
                <c:pt idx="136">
                  <c:v>1374884.0149</c:v>
                </c:pt>
                <c:pt idx="137">
                  <c:v>1412080.9692</c:v>
                </c:pt>
                <c:pt idx="138">
                  <c:v>1315946.6183</c:v>
                </c:pt>
                <c:pt idx="139">
                  <c:v>1264159.3536</c:v>
                </c:pt>
                <c:pt idx="140">
                  <c:v>1194725.7082</c:v>
                </c:pt>
                <c:pt idx="141">
                  <c:v>1119085.7704</c:v>
                </c:pt>
                <c:pt idx="142">
                  <c:v>1085771.1066</c:v>
                </c:pt>
                <c:pt idx="143">
                  <c:v>1121341.1848</c:v>
                </c:pt>
                <c:pt idx="144">
                  <c:v>1340583.234</c:v>
                </c:pt>
                <c:pt idx="145">
                  <c:v>1509143.8179</c:v>
                </c:pt>
                <c:pt idx="146">
                  <c:v>1555960.2551</c:v>
                </c:pt>
                <c:pt idx="147">
                  <c:v>1419451.6309</c:v>
                </c:pt>
                <c:pt idx="148">
                  <c:v>1418369.9405</c:v>
                </c:pt>
                <c:pt idx="149">
                  <c:v>1243898</c:v>
                </c:pt>
                <c:pt idx="150">
                  <c:v>1211720.6916</c:v>
                </c:pt>
                <c:pt idx="151">
                  <c:v>1249771.6869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150"/>
              <c:delete val="1"/>
            </c:dLbl>
            <c:dLbl>
              <c:idx val="1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(no)'!$B$167:$B$318</c:f>
              <c:numCache>
                <c:ptCount val="152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  <c:pt idx="147">
                  <c:v>2019.8333230000135</c:v>
                </c:pt>
                <c:pt idx="148">
                  <c:v>2019.9166563000135</c:v>
                </c:pt>
                <c:pt idx="149">
                  <c:v>2019.9999896000136</c:v>
                </c:pt>
                <c:pt idx="150">
                  <c:v>2020.0833229000136</c:v>
                </c:pt>
                <c:pt idx="151">
                  <c:v>2020.1666562000137</c:v>
                </c:pt>
              </c:numCache>
            </c:numRef>
          </c:xVal>
          <c:yVal>
            <c:numRef>
              <c:f>'ESTRUCTURA gas (no)'!$O$167:$O$318</c:f>
              <c:numCache>
                <c:ptCount val="152"/>
                <c:pt idx="0">
                  <c:v>258864.3865</c:v>
                </c:pt>
                <c:pt idx="1">
                  <c:v>258864.3865</c:v>
                </c:pt>
                <c:pt idx="2">
                  <c:v>258864.3865</c:v>
                </c:pt>
                <c:pt idx="3">
                  <c:v>258864.3865</c:v>
                </c:pt>
                <c:pt idx="4">
                  <c:v>258864.3865</c:v>
                </c:pt>
                <c:pt idx="5">
                  <c:v>258864.3865</c:v>
                </c:pt>
                <c:pt idx="6">
                  <c:v>327747.9703</c:v>
                </c:pt>
                <c:pt idx="7">
                  <c:v>327747.9703</c:v>
                </c:pt>
                <c:pt idx="8">
                  <c:v>327747.9703</c:v>
                </c:pt>
                <c:pt idx="9">
                  <c:v>327747.9703</c:v>
                </c:pt>
                <c:pt idx="10">
                  <c:v>327747.9703</c:v>
                </c:pt>
                <c:pt idx="11">
                  <c:v>327747.9703</c:v>
                </c:pt>
                <c:pt idx="12">
                  <c:v>327747.9703</c:v>
                </c:pt>
                <c:pt idx="13">
                  <c:v>327747.9703</c:v>
                </c:pt>
                <c:pt idx="14">
                  <c:v>327747.9703</c:v>
                </c:pt>
                <c:pt idx="15">
                  <c:v>327747.9703</c:v>
                </c:pt>
                <c:pt idx="16">
                  <c:v>327747.9703</c:v>
                </c:pt>
                <c:pt idx="17">
                  <c:v>327747.9703</c:v>
                </c:pt>
                <c:pt idx="18">
                  <c:v>336112.2516</c:v>
                </c:pt>
                <c:pt idx="19">
                  <c:v>336112.2516</c:v>
                </c:pt>
                <c:pt idx="20">
                  <c:v>336112.2516</c:v>
                </c:pt>
                <c:pt idx="21">
                  <c:v>336112.2516</c:v>
                </c:pt>
                <c:pt idx="22">
                  <c:v>336112.2516</c:v>
                </c:pt>
                <c:pt idx="23">
                  <c:v>336112.2516</c:v>
                </c:pt>
                <c:pt idx="24">
                  <c:v>336112.2516</c:v>
                </c:pt>
                <c:pt idx="25">
                  <c:v>336112.2516</c:v>
                </c:pt>
                <c:pt idx="26">
                  <c:v>336112.2516</c:v>
                </c:pt>
                <c:pt idx="27">
                  <c:v>336112.2516</c:v>
                </c:pt>
                <c:pt idx="28">
                  <c:v>336112.2516</c:v>
                </c:pt>
                <c:pt idx="29">
                  <c:v>336112.2516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</c:v>
                </c:pt>
                <c:pt idx="67">
                  <c:v>1179614.09</c:v>
                </c:pt>
                <c:pt idx="68">
                  <c:v>1179614.09</c:v>
                </c:pt>
                <c:pt idx="69">
                  <c:v>1179614.09</c:v>
                </c:pt>
                <c:pt idx="70">
                  <c:v>1179614.09</c:v>
                </c:pt>
                <c:pt idx="71">
                  <c:v>1179614.09</c:v>
                </c:pt>
                <c:pt idx="72">
                  <c:v>1179614.09</c:v>
                </c:pt>
                <c:pt idx="73">
                  <c:v>1179614.09</c:v>
                </c:pt>
                <c:pt idx="74">
                  <c:v>1179614.09</c:v>
                </c:pt>
                <c:pt idx="75">
                  <c:v>1179614.09</c:v>
                </c:pt>
                <c:pt idx="76">
                  <c:v>1179614.09</c:v>
                </c:pt>
                <c:pt idx="77">
                  <c:v>1179614.09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1294666.0901</c:v>
                </c:pt>
                <c:pt idx="91">
                  <c:v>1294666.0901</c:v>
                </c:pt>
                <c:pt idx="92">
                  <c:v>1294666.0901</c:v>
                </c:pt>
                <c:pt idx="93">
                  <c:v>1294666.0901</c:v>
                </c:pt>
                <c:pt idx="94">
                  <c:v>1294666.0901</c:v>
                </c:pt>
                <c:pt idx="95">
                  <c:v>1294666.0901</c:v>
                </c:pt>
                <c:pt idx="96">
                  <c:v>1294666.0901</c:v>
                </c:pt>
                <c:pt idx="97">
                  <c:v>1294666.0901</c:v>
                </c:pt>
                <c:pt idx="98">
                  <c:v>1294666.0901</c:v>
                </c:pt>
                <c:pt idx="99">
                  <c:v>1294666.0901</c:v>
                </c:pt>
                <c:pt idx="100">
                  <c:v>1294666.0901</c:v>
                </c:pt>
                <c:pt idx="101">
                  <c:v>1294666.0901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1245812.264</c:v>
                </c:pt>
                <c:pt idx="115">
                  <c:v>1245812.264</c:v>
                </c:pt>
                <c:pt idx="116">
                  <c:v>1245812.264</c:v>
                </c:pt>
                <c:pt idx="117">
                  <c:v>1245812.264</c:v>
                </c:pt>
                <c:pt idx="118">
                  <c:v>1245812.264</c:v>
                </c:pt>
                <c:pt idx="119">
                  <c:v>1245812.264</c:v>
                </c:pt>
                <c:pt idx="120">
                  <c:v>1245812.264</c:v>
                </c:pt>
                <c:pt idx="121">
                  <c:v>1245812.264</c:v>
                </c:pt>
                <c:pt idx="122">
                  <c:v>1245812.264</c:v>
                </c:pt>
                <c:pt idx="123">
                  <c:v>1245812.264</c:v>
                </c:pt>
                <c:pt idx="124">
                  <c:v>1245812.264</c:v>
                </c:pt>
                <c:pt idx="125">
                  <c:v>1245812.264</c:v>
                </c:pt>
                <c:pt idx="126">
                  <c:v>1197245.8237</c:v>
                </c:pt>
                <c:pt idx="127">
                  <c:v>1197245.8237</c:v>
                </c:pt>
                <c:pt idx="128">
                  <c:v>1197245.8237</c:v>
                </c:pt>
                <c:pt idx="129">
                  <c:v>1197245.8237</c:v>
                </c:pt>
                <c:pt idx="130">
                  <c:v>1197245.8237</c:v>
                </c:pt>
                <c:pt idx="131">
                  <c:v>1197245.8237</c:v>
                </c:pt>
                <c:pt idx="132">
                  <c:v>1197245.8237</c:v>
                </c:pt>
                <c:pt idx="133">
                  <c:v>1197245.8237</c:v>
                </c:pt>
                <c:pt idx="134">
                  <c:v>1197245.8237</c:v>
                </c:pt>
                <c:pt idx="135">
                  <c:v>1197245.8237</c:v>
                </c:pt>
                <c:pt idx="136">
                  <c:v>1197245.8237</c:v>
                </c:pt>
                <c:pt idx="137">
                  <c:v>1197245.8237</c:v>
                </c:pt>
                <c:pt idx="138">
                  <c:v>1299273.6229</c:v>
                </c:pt>
                <c:pt idx="139">
                  <c:v>1299273.6229</c:v>
                </c:pt>
                <c:pt idx="140">
                  <c:v>1299273.6229</c:v>
                </c:pt>
                <c:pt idx="141">
                  <c:v>1299273.6229</c:v>
                </c:pt>
                <c:pt idx="142">
                  <c:v>1299273.6229</c:v>
                </c:pt>
                <c:pt idx="143">
                  <c:v>1299273.6229</c:v>
                </c:pt>
                <c:pt idx="144">
                  <c:v>1299273.6229</c:v>
                </c:pt>
                <c:pt idx="145">
                  <c:v>1299273.6229</c:v>
                </c:pt>
                <c:pt idx="146">
                  <c:v>1299273.6229</c:v>
                </c:pt>
                <c:pt idx="147">
                  <c:v>1299273.6229</c:v>
                </c:pt>
                <c:pt idx="148">
                  <c:v>1299273.6229</c:v>
                </c:pt>
                <c:pt idx="149">
                  <c:v>1299273.6229</c:v>
                </c:pt>
                <c:pt idx="150">
                  <c:v>1230112.0061</c:v>
                </c:pt>
                <c:pt idx="151">
                  <c:v>1230112.0061</c:v>
                </c:pt>
              </c:numCache>
            </c:numRef>
          </c:yVal>
          <c:smooth val="0"/>
        </c:ser>
        <c:axId val="31431499"/>
        <c:axId val="14448036"/>
      </c:scatterChart>
      <c:valAx>
        <c:axId val="31431499"/>
        <c:scaling>
          <c:orientation val="minMax"/>
          <c:max val="2020.2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4448036"/>
        <c:crosses val="autoZero"/>
        <c:crossBetween val="midCat"/>
        <c:dispUnits/>
        <c:majorUnit val="1"/>
        <c:minorUnit val="0.1"/>
      </c:valAx>
      <c:valAx>
        <c:axId val="14448036"/>
        <c:scaling>
          <c:orientation val="minMax"/>
          <c:max val="170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21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1431499"/>
        <c:crosses val="autoZero"/>
        <c:crossBetween val="midCat"/>
        <c:dispUnits>
          <c:builtInUnit val="thousands"/>
        </c:dispUnits>
        <c:majorUnit val="100000"/>
        <c:minorUnit val="10000"/>
      </c:valAx>
      <c:spPr>
        <a:solidFill>
          <a:srgbClr val="EEECE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50" b="0" i="0" u="none" baseline="0">
                <a:solidFill>
                  <a:srgbClr val="003366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50" b="0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24975"/>
          <c:y val="0.918"/>
          <c:w val="0.511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2563475" y="809625"/>
        <a:ext cx="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2563475" y="4305300"/>
        <a:ext cx="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6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7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8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9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0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5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6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7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8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9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0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5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6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7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8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9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0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5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6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7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8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9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0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5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6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7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8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9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0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5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6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7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8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9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60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6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6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6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6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0.92325</cdr:x>
      <cdr:y>0.557</cdr:y>
    </cdr:from>
    <cdr:to>
      <cdr:x>0.924</cdr:x>
      <cdr:y>0.557</cdr:y>
    </cdr:to>
    <cdr:sp>
      <cdr:nvSpPr>
        <cdr:cNvPr id="65" name="CuadroTexto 2557089"/>
        <cdr:cNvSpPr txBox="1">
          <a:spLocks noChangeArrowheads="1"/>
        </cdr:cNvSpPr>
      </cdr:nvSpPr>
      <cdr:spPr>
        <a:xfrm>
          <a:off x="6410325" y="22574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136,208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0.44375</cdr:x>
      <cdr:y>0.53675</cdr:y>
    </cdr:from>
    <cdr:to>
      <cdr:x>0.45375</cdr:x>
      <cdr:y>0.5805</cdr:y>
    </cdr:to>
    <cdr:sp>
      <cdr:nvSpPr>
        <cdr:cNvPr id="1" name="Text Box 1"/>
        <cdr:cNvSpPr txBox="1">
          <a:spLocks noChangeArrowheads="1"/>
        </cdr:cNvSpPr>
      </cdr:nvSpPr>
      <cdr:spPr>
        <a:xfrm>
          <a:off x="3095625" y="2162175"/>
          <a:ext cx="66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123825</xdr:rowOff>
    </xdr:from>
    <xdr:to>
      <xdr:col>12</xdr:col>
      <xdr:colOff>190500</xdr:colOff>
      <xdr:row>30</xdr:row>
      <xdr:rowOff>133350</xdr:rowOff>
    </xdr:to>
    <xdr:graphicFrame>
      <xdr:nvGraphicFramePr>
        <xdr:cNvPr id="1" name="Chart 1026"/>
        <xdr:cNvGraphicFramePr/>
      </xdr:nvGraphicFramePr>
      <xdr:xfrm>
        <a:off x="619125" y="1066800"/>
        <a:ext cx="69437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51</xdr:row>
      <xdr:rowOff>38100</xdr:rowOff>
    </xdr:from>
    <xdr:to>
      <xdr:col>12</xdr:col>
      <xdr:colOff>228600</xdr:colOff>
      <xdr:row>76</xdr:row>
      <xdr:rowOff>28575</xdr:rowOff>
    </xdr:to>
    <xdr:graphicFrame>
      <xdr:nvGraphicFramePr>
        <xdr:cNvPr id="2" name="Chart 1027"/>
        <xdr:cNvGraphicFramePr/>
      </xdr:nvGraphicFramePr>
      <xdr:xfrm>
        <a:off x="609600" y="6610350"/>
        <a:ext cx="699135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5:BK321"/>
  <sheetViews>
    <sheetView zoomScalePageLayoutView="0" workbookViewId="0" topLeftCell="A5">
      <pane xSplit="4" ySplit="3" topLeftCell="AG307" activePane="bottomRight" state="frozen"/>
      <selection pane="topLeft" activeCell="A5" sqref="A5"/>
      <selection pane="topRight" activeCell="E5" sqref="E5"/>
      <selection pane="bottomLeft" activeCell="A8" sqref="A8"/>
      <selection pane="bottomRight" activeCell="AL312" sqref="AL312"/>
    </sheetView>
  </sheetViews>
  <sheetFormatPr defaultColWidth="11.421875" defaultRowHeight="12.75"/>
  <cols>
    <col min="1" max="1" width="2.8515625" style="135" customWidth="1"/>
    <col min="2" max="2" width="1.421875" style="135" customWidth="1"/>
    <col min="3" max="3" width="9.28125" style="181" customWidth="1"/>
    <col min="4" max="4" width="10.57421875" style="135" bestFit="1" customWidth="1"/>
    <col min="5" max="5" width="9.00390625" style="135" customWidth="1"/>
    <col min="6" max="6" width="10.140625" style="135" customWidth="1"/>
    <col min="7" max="7" width="11.00390625" style="135" customWidth="1"/>
    <col min="8" max="8" width="9.7109375" style="135" customWidth="1"/>
    <col min="9" max="9" width="11.00390625" style="135" bestFit="1" customWidth="1"/>
    <col min="10" max="10" width="10.140625" style="135" bestFit="1" customWidth="1"/>
    <col min="11" max="11" width="8.57421875" style="135" customWidth="1"/>
    <col min="12" max="12" width="12.00390625" style="135" bestFit="1" customWidth="1"/>
    <col min="13" max="13" width="11.8515625" style="135" customWidth="1"/>
    <col min="14" max="14" width="10.57421875" style="135" customWidth="1"/>
    <col min="15" max="15" width="12.00390625" style="135" bestFit="1" customWidth="1"/>
    <col min="16" max="16" width="10.140625" style="135" bestFit="1" customWidth="1"/>
    <col min="17" max="17" width="8.57421875" style="135" customWidth="1"/>
    <col min="18" max="18" width="11.00390625" style="135" customWidth="1"/>
    <col min="19" max="20" width="12.421875" style="135" customWidth="1"/>
    <col min="21" max="22" width="15.140625" style="135" customWidth="1"/>
    <col min="23" max="26" width="14.00390625" style="135" customWidth="1"/>
    <col min="27" max="27" width="12.28125" style="135" bestFit="1" customWidth="1"/>
    <col min="28" max="28" width="8.28125" style="135" customWidth="1"/>
    <col min="29" max="34" width="10.140625" style="135" customWidth="1"/>
    <col min="35" max="35" width="11.00390625" style="135" customWidth="1"/>
    <col min="36" max="36" width="13.7109375" style="142" customWidth="1"/>
    <col min="37" max="37" width="11.421875" style="138" customWidth="1"/>
    <col min="38" max="16384" width="11.421875" style="135" customWidth="1"/>
  </cols>
  <sheetData>
    <row r="1" ht="12.75" hidden="1"/>
    <row r="2" ht="12.75" hidden="1"/>
    <row r="3" ht="12.75" hidden="1"/>
    <row r="4" ht="12.75" hidden="1"/>
    <row r="5" spans="4:35" ht="12.7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6" ht="12.75"/>
    <row r="7" spans="3:36" ht="33.7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3:36" ht="12.75">
      <c r="C8" s="182">
        <f>+C7+0.0833333</f>
        <v>1994.0833333</v>
      </c>
      <c r="D8" s="147">
        <v>34335</v>
      </c>
      <c r="E8" s="148">
        <f>18672/31</f>
        <v>602.3225806451613</v>
      </c>
      <c r="F8" s="148">
        <f>17869/31</f>
        <v>576.4193548387096</v>
      </c>
      <c r="G8" s="148">
        <f>10242/31</f>
        <v>330.38709677419354</v>
      </c>
      <c r="H8" s="148">
        <f>14236/31</f>
        <v>459.2258064516129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</v>
      </c>
      <c r="L8" s="148">
        <f>12589/31</f>
        <v>406.0967741935484</v>
      </c>
      <c r="M8" s="148">
        <f>413556/31</f>
        <v>13340.516129032258</v>
      </c>
      <c r="N8" s="148">
        <f>152233/31</f>
        <v>4910.741935483871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61276.25806451613</v>
      </c>
      <c r="X8" s="148"/>
      <c r="Y8" s="148"/>
      <c r="Z8" s="148"/>
      <c r="AA8" s="148">
        <f>+(3935+15927)/31</f>
        <v>640.7096774193549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ht="12.75">
      <c r="A9" s="149"/>
      <c r="B9" s="149"/>
      <c r="C9" s="182">
        <f aca="true" t="shared" si="0" ref="C9:C18">+C8+0.0833333</f>
        <v>1994.1666666</v>
      </c>
      <c r="D9" s="147">
        <v>34366</v>
      </c>
      <c r="E9" s="148">
        <f>18462/28</f>
        <v>659.3571428571429</v>
      </c>
      <c r="F9" s="148">
        <f>15422/28</f>
        <v>550.7857142857143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13306.32142857143</v>
      </c>
      <c r="N9" s="148">
        <f>136863/28</f>
        <v>4887.964285714285</v>
      </c>
      <c r="O9" s="148"/>
      <c r="P9" s="148"/>
      <c r="Q9" s="148"/>
      <c r="R9" s="148"/>
      <c r="S9" s="148">
        <f>570216/28</f>
        <v>20364.85714285714</v>
      </c>
      <c r="T9" s="148"/>
      <c r="U9" s="148">
        <f>649113/28</f>
        <v>23182.60714285714</v>
      </c>
      <c r="V9" s="148"/>
      <c r="W9" s="148">
        <f>1693952/28</f>
        <v>60498.28571428572</v>
      </c>
      <c r="X9" s="148"/>
      <c r="Y9" s="148"/>
      <c r="Z9" s="148"/>
      <c r="AA9" s="148">
        <f>+(13560+3545)/28</f>
        <v>610.8928571428571</v>
      </c>
      <c r="AB9" s="148"/>
      <c r="AC9" s="148"/>
      <c r="AD9" s="148"/>
      <c r="AE9" s="148"/>
      <c r="AF9" s="148"/>
      <c r="AG9" s="148"/>
      <c r="AH9" s="148"/>
      <c r="AI9" s="148">
        <f aca="true" t="shared" si="1" ref="AI9:AI24">SUM(E9:AA9)</f>
        <v>128364.82142857143</v>
      </c>
      <c r="AJ9" s="252">
        <v>127305</v>
      </c>
    </row>
    <row r="10" spans="1:36" ht="12.7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591.6451612903226</v>
      </c>
      <c r="F10" s="148">
        <f>17483/31</f>
        <v>563.9677419354839</v>
      </c>
      <c r="G10" s="148">
        <f>8566/31</f>
        <v>276.3225806451613</v>
      </c>
      <c r="H10" s="148">
        <f>12714/31</f>
        <v>410.1290322580645</v>
      </c>
      <c r="I10" s="148">
        <f>7066/31</f>
        <v>227.93548387096774</v>
      </c>
      <c r="J10" s="148">
        <f>59172/31</f>
        <v>1908.774193548387</v>
      </c>
      <c r="K10" s="148">
        <f>24235/31</f>
        <v>781.7741935483871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4748.903225806452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25001.25806451613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615.9354838709677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128527.7741935484</v>
      </c>
      <c r="AJ10" s="252">
        <v>127305</v>
      </c>
    </row>
    <row r="11" spans="1:36" ht="12.7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</v>
      </c>
      <c r="G11" s="148">
        <f>7016/30</f>
        <v>233.86666666666667</v>
      </c>
      <c r="H11" s="148">
        <f>12635/30</f>
        <v>421.1666666666667</v>
      </c>
      <c r="I11" s="148">
        <f>5622/30</f>
        <v>187.4</v>
      </c>
      <c r="J11" s="148">
        <f>57969/30</f>
        <v>1932.3</v>
      </c>
      <c r="K11" s="148">
        <f>29681/30</f>
        <v>989.3666666666667</v>
      </c>
      <c r="L11" s="148">
        <f>13384/30</f>
        <v>446.1333333333333</v>
      </c>
      <c r="M11" s="148">
        <f>398126/30</f>
        <v>13270.866666666667</v>
      </c>
      <c r="N11" s="148">
        <f>145413/30</f>
        <v>4847.1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610.4333333333333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ht="12.7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</v>
      </c>
      <c r="F12" s="148">
        <f>14481/31</f>
        <v>467.1290322580645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266.2903225806452</v>
      </c>
      <c r="J12" s="148">
        <f>57629/31</f>
        <v>1859</v>
      </c>
      <c r="K12" s="148">
        <f>27332/31</f>
        <v>881.6774193548387</v>
      </c>
      <c r="L12" s="148">
        <f>13482/31</f>
        <v>434.9032258064516</v>
      </c>
      <c r="M12" s="148">
        <f>405957/31</f>
        <v>13095.387096774193</v>
      </c>
      <c r="N12" s="148">
        <f>149801/31</f>
        <v>4832.290322580645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</v>
      </c>
      <c r="X12" s="148"/>
      <c r="Y12" s="148"/>
      <c r="Z12" s="148"/>
      <c r="AA12" s="148">
        <f>+(14993+3491)/31</f>
        <v>596.258064516129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</v>
      </c>
      <c r="AJ12" s="252">
        <v>127305</v>
      </c>
    </row>
    <row r="13" spans="1:36" ht="12.7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</v>
      </c>
      <c r="F13" s="148">
        <f>17308/30</f>
        <v>576.9333333333333</v>
      </c>
      <c r="G13" s="148">
        <f>9139/30</f>
        <v>304.6333333333333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921.2666666666667</v>
      </c>
      <c r="L13" s="148">
        <f>13370/30</f>
        <v>445.6666666666667</v>
      </c>
      <c r="M13" s="148">
        <f>396517/30</f>
        <v>13217.233333333334</v>
      </c>
      <c r="N13" s="148">
        <f>144853/30</f>
        <v>4828.433333333333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</v>
      </c>
      <c r="X13" s="148"/>
      <c r="Y13" s="148"/>
      <c r="Z13" s="148"/>
      <c r="AA13" s="148">
        <f>+(15272+4235)/30</f>
        <v>650.2333333333333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ht="12.75">
      <c r="A14" s="149">
        <v>0.0027397260273972603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421.3225806451613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857.9032258064516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ht="12.7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</v>
      </c>
      <c r="G15" s="148">
        <f>7881/31</f>
        <v>254.2258064516129</v>
      </c>
      <c r="H15" s="148">
        <f>16261/31</f>
        <v>524.5483870967741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</v>
      </c>
      <c r="L15" s="148">
        <f>13608/31</f>
        <v>438.96774193548384</v>
      </c>
      <c r="M15" s="148">
        <f>429973/31</f>
        <v>13870.09677419355</v>
      </c>
      <c r="N15" s="148">
        <f>146778/31</f>
        <v>4734.774193548387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</v>
      </c>
      <c r="X15" s="148"/>
      <c r="Y15" s="148"/>
      <c r="Z15" s="148"/>
      <c r="AA15" s="148">
        <f>+(4347+16022)/31</f>
        <v>657.0645161290323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ht="12.7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585.7666666666667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</v>
      </c>
      <c r="X16" s="148"/>
      <c r="Y16" s="148"/>
      <c r="Z16" s="148"/>
      <c r="AA16" s="148">
        <f>+(3706+13533)/30</f>
        <v>574.6333333333333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ht="12.7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357.741935483871</v>
      </c>
      <c r="F17" s="148">
        <f>17783/31</f>
        <v>573.6451612903226</v>
      </c>
      <c r="G17" s="148">
        <f>9068/31</f>
        <v>292.51612903225805</v>
      </c>
      <c r="H17" s="148">
        <f>16718/31</f>
        <v>539.2903225806451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</v>
      </c>
      <c r="L17" s="148">
        <f>13322/31</f>
        <v>429.741935483871</v>
      </c>
      <c r="M17" s="148">
        <f>434403/31</f>
        <v>14013</v>
      </c>
      <c r="N17" s="148">
        <f>143288/31</f>
        <v>4622.193548387097</v>
      </c>
      <c r="O17" s="148"/>
      <c r="P17" s="148"/>
      <c r="Q17" s="148"/>
      <c r="R17" s="148"/>
      <c r="S17" s="148">
        <f>597326/31</f>
        <v>19268.58064516129</v>
      </c>
      <c r="T17" s="148"/>
      <c r="U17" s="148">
        <v>28937.41935483871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580.7741935483871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ht="12.7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673.7666666666667</v>
      </c>
      <c r="F18" s="148">
        <f>17113/30</f>
        <v>570.4333333333333</v>
      </c>
      <c r="G18" s="148">
        <f>7811/30</f>
        <v>260.3666666666667</v>
      </c>
      <c r="H18" s="148">
        <f>16759/30</f>
        <v>558.6333333333333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</v>
      </c>
      <c r="L18" s="148">
        <f>12326/30</f>
        <v>410.8666666666667</v>
      </c>
      <c r="M18" s="148">
        <f>407184/30</f>
        <v>13572.8</v>
      </c>
      <c r="N18" s="148">
        <f>136112/30</f>
        <v>4537.066666666667</v>
      </c>
      <c r="O18" s="148"/>
      <c r="P18" s="148"/>
      <c r="Q18" s="148"/>
      <c r="R18" s="148"/>
      <c r="S18" s="148">
        <f>550023/30</f>
        <v>18334.1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617.2666666666667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ht="12.75">
      <c r="A19" s="149"/>
      <c r="B19" s="149"/>
      <c r="C19" s="182">
        <f aca="true" t="shared" si="2" ref="C19:C82">+C18+0.0833333</f>
        <v>1994.9999996000006</v>
      </c>
      <c r="D19" s="147">
        <v>34669</v>
      </c>
      <c r="E19" s="148">
        <f>16998/31</f>
        <v>548.3225806451613</v>
      </c>
      <c r="F19" s="148">
        <f>18641/31</f>
        <v>601.3225806451613</v>
      </c>
      <c r="G19" s="148">
        <f>7892/31</f>
        <v>254.58064516129033</v>
      </c>
      <c r="H19" s="148">
        <f>17281/31</f>
        <v>557.4516129032259</v>
      </c>
      <c r="I19" s="148">
        <f>7048/31</f>
        <v>227.3548387096774</v>
      </c>
      <c r="J19" s="148">
        <f>57092/31</f>
        <v>1841.6774193548388</v>
      </c>
      <c r="K19" s="148">
        <f>28600/31</f>
        <v>922.5806451612904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4620.580645161291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</v>
      </c>
      <c r="V19" s="148"/>
      <c r="W19" s="148">
        <f>1452075/31</f>
        <v>46841.12903225807</v>
      </c>
      <c r="X19" s="148"/>
      <c r="Y19" s="148"/>
      <c r="Z19" s="148"/>
      <c r="AA19" s="148">
        <f>+(5904+13613)/31</f>
        <v>629.5806451612904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ht="12.7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ht="12.7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ht="12.7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ht="12.7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ht="12.7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ht="12.75">
      <c r="A25" s="149"/>
      <c r="B25" s="149"/>
      <c r="C25" s="182">
        <f t="shared" si="2"/>
        <v>1995.499999400001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aca="true" t="shared" si="3" ref="AI25:AI40">SUM(E25:AA25)</f>
        <v>123726</v>
      </c>
      <c r="AJ25" s="252">
        <v>121700</v>
      </c>
    </row>
    <row r="26" spans="1:36" ht="12.75">
      <c r="A26" s="149"/>
      <c r="B26" s="149"/>
      <c r="C26" s="182">
        <f t="shared" si="2"/>
        <v>1995.583332700001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ht="12.7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ht="12.7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ht="12.75">
      <c r="A29" s="149"/>
      <c r="B29" s="149"/>
      <c r="C29" s="182">
        <f t="shared" si="2"/>
        <v>1995.833332600001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ht="12.7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ht="12.7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ht="12.7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ht="12.7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ht="12.7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ht="12.7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ht="12.7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ht="12.7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ht="12.7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ht="12.7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ht="12.7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ht="12.7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ht="12.7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ht="12.7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ht="12.7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ht="12.7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ht="12.75">
      <c r="A46" s="149"/>
      <c r="B46" s="149"/>
      <c r="C46" s="182">
        <f t="shared" si="2"/>
        <v>1997.249998700002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ht="12.7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ht="12.7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ht="12.75">
      <c r="A49" s="149"/>
      <c r="B49" s="149"/>
      <c r="C49" s="182">
        <f t="shared" si="2"/>
        <v>1997.499998600002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ht="12.7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ht="12.7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ht="12.7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ht="12.7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ht="12.7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ht="12.7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ht="12.7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ht="12.7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ht="12.7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ht="12.7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ht="12.7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ht="12.7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aca="true" t="shared" si="4" ref="AJ61:AJ67">+AJ60</f>
        <v>115593</v>
      </c>
    </row>
    <row r="62" spans="1:36" ht="12.7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ht="12.7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ht="12.7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6" ht="12.7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6" ht="12.75">
      <c r="A66" s="149"/>
      <c r="B66" s="149"/>
      <c r="C66" s="182">
        <f t="shared" si="2"/>
        <v>1998.916664700003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6" ht="12.7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6" ht="12.7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6" ht="12.75">
      <c r="A69" s="149"/>
      <c r="B69" s="149"/>
      <c r="C69" s="182">
        <f t="shared" si="2"/>
        <v>1999.166664600003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aca="true" t="shared" si="5" ref="AJ69:AJ78">+AJ68</f>
        <v>105927</v>
      </c>
    </row>
    <row r="70" spans="1:36" ht="12.75">
      <c r="A70" s="149"/>
      <c r="B70" s="149"/>
      <c r="C70" s="182">
        <f t="shared" si="2"/>
        <v>1999.249997900003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6" ht="12.7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ht="12.7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6" ht="12.7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6" ht="12.7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6" ht="12.7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6" ht="12.7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6" ht="12.7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6" ht="12.7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6" ht="12.7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6" ht="12.7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36" ht="12.7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aca="true" t="shared" si="6" ref="AJ81:AJ86">+AJ80</f>
        <v>99217</v>
      </c>
    </row>
    <row r="82" spans="1:36" ht="12.7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36" ht="12.75">
      <c r="A83" s="149"/>
      <c r="B83" s="149"/>
      <c r="C83" s="182">
        <f aca="true" t="shared" si="7" ref="C83:C146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36" ht="12.7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39" ht="12.7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82">
        <v>3869</v>
      </c>
      <c r="K85" s="282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39" ht="12.75">
      <c r="A86" s="149"/>
      <c r="B86" s="149"/>
      <c r="C86" s="182">
        <f t="shared" si="7"/>
        <v>2000.583330700004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82">
        <v>4034</v>
      </c>
      <c r="K86" s="282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36" ht="12.75">
      <c r="A87" s="149"/>
      <c r="B87" s="149"/>
      <c r="C87" s="182">
        <f t="shared" si="7"/>
        <v>2000.666664000004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82">
        <v>4285</v>
      </c>
      <c r="K87" s="282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ht="12.7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82">
        <v>4266</v>
      </c>
      <c r="K88" s="282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36" ht="12.7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82">
        <v>4352</v>
      </c>
      <c r="K89" s="282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36" ht="12.75">
      <c r="A90" s="149"/>
      <c r="B90" s="149"/>
      <c r="C90" s="182">
        <f t="shared" si="7"/>
        <v>2000.916663900004</v>
      </c>
      <c r="D90" s="152">
        <v>36831</v>
      </c>
      <c r="E90" s="148">
        <v>676.7333333333333</v>
      </c>
      <c r="F90" s="148">
        <v>735.5333333333333</v>
      </c>
      <c r="G90" s="148">
        <v>695.2666666666667</v>
      </c>
      <c r="H90" s="148">
        <v>561.9333333333333</v>
      </c>
      <c r="I90" s="148">
        <v>148.5</v>
      </c>
      <c r="J90" s="287">
        <v>4271.266666666666</v>
      </c>
      <c r="K90" s="287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36" ht="12.75">
      <c r="A91" s="149"/>
      <c r="B91" s="149"/>
      <c r="C91" s="182">
        <f t="shared" si="7"/>
        <v>2000.9999972000041</v>
      </c>
      <c r="D91" s="152">
        <v>36861</v>
      </c>
      <c r="E91" s="148">
        <v>660.4193548387096</v>
      </c>
      <c r="F91" s="148">
        <v>748.5806451612904</v>
      </c>
      <c r="G91" s="148">
        <v>712.2903225806451</v>
      </c>
      <c r="H91" s="148">
        <v>555.6774193548387</v>
      </c>
      <c r="I91" s="148">
        <v>141.7741935483871</v>
      </c>
      <c r="J91" s="282">
        <v>4265.225806451613</v>
      </c>
      <c r="K91" s="282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24387.25806451613</v>
      </c>
      <c r="V91" s="148"/>
      <c r="W91" s="148">
        <v>36417.22580645161</v>
      </c>
      <c r="X91" s="148"/>
      <c r="Y91" s="148"/>
      <c r="Z91" s="148"/>
      <c r="AA91" s="148">
        <v>537.0645161290323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98047.74193548388</v>
      </c>
      <c r="AJ91" s="252">
        <v>99217</v>
      </c>
    </row>
    <row r="92" spans="1:36" ht="12.75">
      <c r="A92" s="149"/>
      <c r="B92" s="149"/>
      <c r="C92" s="182">
        <f t="shared" si="7"/>
        <v>2001.0833305000042</v>
      </c>
      <c r="D92" s="152">
        <v>36892</v>
      </c>
      <c r="E92" s="148">
        <v>644.9354838709677</v>
      </c>
      <c r="F92" s="148">
        <v>700.0967741935484</v>
      </c>
      <c r="G92" s="148">
        <v>667.7741935483871</v>
      </c>
      <c r="H92" s="148">
        <v>523.0967741935484</v>
      </c>
      <c r="I92" s="148">
        <v>153.83870967741936</v>
      </c>
      <c r="J92" s="282">
        <v>4113.322580645161</v>
      </c>
      <c r="K92" s="282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35627.77419354839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</v>
      </c>
      <c r="AJ92" s="252">
        <v>97097</v>
      </c>
    </row>
    <row r="93" spans="1:36" ht="12.75">
      <c r="A93" s="149"/>
      <c r="B93" s="149"/>
      <c r="C93" s="182">
        <f t="shared" si="7"/>
        <v>2001.1666638000042</v>
      </c>
      <c r="D93" s="152">
        <v>36923</v>
      </c>
      <c r="E93" s="148">
        <v>722.6428571428571</v>
      </c>
      <c r="F93" s="148">
        <v>701.3214285714286</v>
      </c>
      <c r="G93" s="148">
        <v>675.3214285714286</v>
      </c>
      <c r="H93" s="148">
        <v>539</v>
      </c>
      <c r="I93" s="148">
        <v>156.5</v>
      </c>
      <c r="J93" s="282">
        <v>4045.214285714286</v>
      </c>
      <c r="K93" s="282"/>
      <c r="L93" s="148">
        <v>394.7142857142857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490.0357142857143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aca="true" t="shared" si="8" ref="AJ93:AJ98">+AJ92</f>
        <v>97097</v>
      </c>
    </row>
    <row r="94" spans="1:39" ht="12.75">
      <c r="A94" s="149"/>
      <c r="B94" s="149"/>
      <c r="C94" s="182">
        <f t="shared" si="7"/>
        <v>2001.2499971000043</v>
      </c>
      <c r="D94" s="152">
        <v>36951</v>
      </c>
      <c r="E94" s="148">
        <v>644.7741935483871</v>
      </c>
      <c r="F94" s="148">
        <v>670.1290322580645</v>
      </c>
      <c r="G94" s="148">
        <v>569.8709677419355</v>
      </c>
      <c r="H94" s="148">
        <v>492</v>
      </c>
      <c r="I94" s="148">
        <v>147.4516129032258</v>
      </c>
      <c r="J94" s="282">
        <v>3904.064516129032</v>
      </c>
      <c r="K94" s="282"/>
      <c r="L94" s="148">
        <v>369.741935483871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</v>
      </c>
      <c r="X94" s="148"/>
      <c r="Y94" s="148"/>
      <c r="Z94" s="148"/>
      <c r="AA94" s="148">
        <v>456.5483870967742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</v>
      </c>
      <c r="AJ94" s="252">
        <f t="shared" si="8"/>
        <v>97097</v>
      </c>
      <c r="AM94" s="134"/>
    </row>
    <row r="95" spans="1:39" ht="12.75">
      <c r="A95" s="149"/>
      <c r="B95" s="149"/>
      <c r="C95" s="182">
        <f t="shared" si="7"/>
        <v>2001.3333304000043</v>
      </c>
      <c r="D95" s="152">
        <v>36982</v>
      </c>
      <c r="E95" s="148">
        <v>663.2666666666667</v>
      </c>
      <c r="F95" s="148">
        <v>658.7</v>
      </c>
      <c r="G95" s="148">
        <v>572.4333333333333</v>
      </c>
      <c r="H95" s="148">
        <v>500.9</v>
      </c>
      <c r="I95" s="148">
        <v>136.86666666666667</v>
      </c>
      <c r="J95" s="282">
        <v>4358.2</v>
      </c>
      <c r="K95" s="282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</v>
      </c>
      <c r="X95" s="148"/>
      <c r="Y95" s="148"/>
      <c r="Z95" s="148"/>
      <c r="AA95" s="148">
        <v>376.96666666666664</v>
      </c>
      <c r="AB95" s="148"/>
      <c r="AC95" s="148">
        <v>3946.233333333333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39" ht="12.7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677.741935483871</v>
      </c>
      <c r="G96" s="148">
        <v>610.9032258064516</v>
      </c>
      <c r="H96" s="148">
        <v>522.7096774193549</v>
      </c>
      <c r="I96" s="148">
        <v>148.51612903225808</v>
      </c>
      <c r="J96" s="282">
        <v>4537.387096774193</v>
      </c>
      <c r="K96" s="282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42316.12903225807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ht="12.7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82">
        <v>4451</v>
      </c>
      <c r="K97" s="282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ht="12.7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82">
        <v>4561</v>
      </c>
      <c r="K98" s="282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ht="12.7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82">
        <v>4385</v>
      </c>
      <c r="K99" s="282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ht="12.7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82">
        <v>4487</v>
      </c>
      <c r="K100" s="282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ht="12.7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82">
        <v>4265</v>
      </c>
      <c r="K101" s="282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ht="12.7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82">
        <v>4133</v>
      </c>
      <c r="K102" s="282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aca="true" t="shared" si="9" ref="AI102:AI108">SUM(E102:AC102)</f>
        <v>95039.53333333333</v>
      </c>
      <c r="AJ102" s="252">
        <f>+AJ101</f>
        <v>97097</v>
      </c>
      <c r="AM102" s="134"/>
    </row>
    <row r="103" spans="1:39" ht="12.7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82">
        <v>3945</v>
      </c>
      <c r="K103" s="282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ht="12.7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82">
        <v>3743</v>
      </c>
      <c r="K104" s="282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ht="12.7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82">
        <v>3792</v>
      </c>
      <c r="K105" s="282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ht="12.7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82">
        <v>3462</v>
      </c>
      <c r="K106" s="282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aca="true" t="shared" si="10" ref="AJ106:AJ114">+AJ105</f>
        <v>96865</v>
      </c>
      <c r="AM106" s="134"/>
    </row>
    <row r="107" spans="1:39" ht="12.75">
      <c r="A107" s="149"/>
      <c r="B107" s="149"/>
      <c r="C107" s="182">
        <f t="shared" si="7"/>
        <v>2002.333330000005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82">
        <v>3441</v>
      </c>
      <c r="K107" s="282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ht="12.7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82">
        <v>3531</v>
      </c>
      <c r="K108" s="282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ht="12.7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82">
        <v>3546</v>
      </c>
      <c r="K109" s="282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aca="true" t="shared" si="11" ref="AI109:AI114">SUM(E109:AC109)</f>
        <v>95357</v>
      </c>
      <c r="AJ109" s="252">
        <f t="shared" si="10"/>
        <v>96865</v>
      </c>
      <c r="AM109" s="134"/>
    </row>
    <row r="110" spans="1:39" ht="12.75">
      <c r="A110" s="149"/>
      <c r="B110" s="149"/>
      <c r="C110" s="182">
        <f t="shared" si="7"/>
        <v>2002.583329900005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82">
        <v>3405</v>
      </c>
      <c r="K110" s="282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ht="12.7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82">
        <v>3341</v>
      </c>
      <c r="K111" s="282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ht="12.7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82">
        <v>3357</v>
      </c>
      <c r="K112" s="282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ht="12.7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82">
        <v>3346</v>
      </c>
      <c r="K113" s="282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ht="12.7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82">
        <v>3341</v>
      </c>
      <c r="K114" s="282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ht="12.7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82">
        <v>3291</v>
      </c>
      <c r="K115" s="282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ht="12.7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82">
        <v>3103</v>
      </c>
      <c r="K116" s="282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ht="12.7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82">
        <v>3002</v>
      </c>
      <c r="K117" s="282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aca="true" t="shared" si="12" ref="AJ117:AJ127">+AJ116</f>
        <v>91350</v>
      </c>
      <c r="AM117" s="134"/>
    </row>
    <row r="118" spans="1:36" ht="12.7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82">
        <v>2920</v>
      </c>
      <c r="K118" s="282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aca="true" t="shared" si="13" ref="AI118:AI129">SUM(E118:AC118)</f>
        <v>93653</v>
      </c>
      <c r="AJ118" s="252">
        <f t="shared" si="12"/>
        <v>91350</v>
      </c>
    </row>
    <row r="119" spans="1:36" ht="12.7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82">
        <v>3023</v>
      </c>
      <c r="K119" s="282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6" ht="12.7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82">
        <v>3080</v>
      </c>
      <c r="K120" s="282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6" ht="12.7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82">
        <v>3168</v>
      </c>
      <c r="K121" s="282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6" ht="12.7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82">
        <v>3369</v>
      </c>
      <c r="K122" s="282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6" ht="12.7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82">
        <v>3462</v>
      </c>
      <c r="K123" s="282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6" ht="12.7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82">
        <v>3406</v>
      </c>
      <c r="K124" s="282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6" ht="12.7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82">
        <v>3500</v>
      </c>
      <c r="K125" s="282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6" ht="12.7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82">
        <v>3472</v>
      </c>
      <c r="K126" s="282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6" ht="12.75">
      <c r="A127" s="149"/>
      <c r="B127" s="149"/>
      <c r="C127" s="182">
        <f t="shared" si="7"/>
        <v>2003.999996000006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82">
        <v>4015</v>
      </c>
      <c r="K127" s="282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6" ht="12.7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82">
        <v>3622</v>
      </c>
      <c r="K128" s="282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6" ht="12.7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82">
        <v>3604</v>
      </c>
      <c r="K129" s="282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6" ht="12.75">
      <c r="C130" s="182">
        <f t="shared" si="7"/>
        <v>2004.249995900006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82">
        <v>3645</v>
      </c>
      <c r="K130" s="282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6" ht="12.75">
      <c r="C131" s="182">
        <f t="shared" si="7"/>
        <v>2004.3333292000061</v>
      </c>
      <c r="D131" s="152">
        <v>38078</v>
      </c>
      <c r="E131" s="148">
        <v>636.4333333333333</v>
      </c>
      <c r="F131" s="148">
        <v>508.3666666666667</v>
      </c>
      <c r="G131" s="148">
        <v>546.4333333333333</v>
      </c>
      <c r="H131" s="148">
        <v>530.6</v>
      </c>
      <c r="I131" s="148">
        <v>145.06666666666666</v>
      </c>
      <c r="J131" s="282">
        <v>3604.5</v>
      </c>
      <c r="K131" s="282">
        <v>636.4333333333333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295.6666666666667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6" ht="12.75">
      <c r="C132" s="182">
        <f t="shared" si="7"/>
        <v>2004.4166625000062</v>
      </c>
      <c r="D132" s="152">
        <v>38108</v>
      </c>
      <c r="E132" s="148">
        <v>636.8387096774194</v>
      </c>
      <c r="F132" s="148">
        <v>504.9032258064516</v>
      </c>
      <c r="G132" s="148">
        <v>566.6774193548387</v>
      </c>
      <c r="H132" s="148">
        <v>537.8387096774194</v>
      </c>
      <c r="I132" s="148">
        <v>136.93548387096774</v>
      </c>
      <c r="J132" s="282">
        <v>3630</v>
      </c>
      <c r="K132" s="282">
        <v>508.3666666666667</v>
      </c>
      <c r="L132" s="148">
        <v>306.7741935483871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</v>
      </c>
      <c r="X132" s="148"/>
      <c r="Y132" s="148"/>
      <c r="Z132" s="148"/>
      <c r="AA132" s="148">
        <v>336.258064516129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6" ht="12.75">
      <c r="C133" s="182">
        <f t="shared" si="7"/>
        <v>2004.4999958000062</v>
      </c>
      <c r="D133" s="152">
        <v>38139</v>
      </c>
      <c r="E133" s="148">
        <v>633.3666666666667</v>
      </c>
      <c r="F133" s="148">
        <v>514.3333333333334</v>
      </c>
      <c r="G133" s="148">
        <v>669.5</v>
      </c>
      <c r="H133" s="148">
        <v>439.23333333333335</v>
      </c>
      <c r="I133" s="148">
        <v>147.03333333333333</v>
      </c>
      <c r="J133" s="282">
        <v>3661.0666666666666</v>
      </c>
      <c r="K133" s="282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</v>
      </c>
      <c r="X133" s="148">
        <v>4116.833333333333</v>
      </c>
      <c r="Y133" s="148"/>
      <c r="Z133" s="148"/>
      <c r="AA133" s="148">
        <v>304.6666666666667</v>
      </c>
      <c r="AB133" s="148"/>
      <c r="AC133" s="148">
        <v>4067.733333333333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6" ht="12.75">
      <c r="C134" s="182">
        <f t="shared" si="7"/>
        <v>2004.5833291000063</v>
      </c>
      <c r="D134" s="152">
        <v>38169</v>
      </c>
      <c r="E134" s="148">
        <v>628.1290322580645</v>
      </c>
      <c r="F134" s="148">
        <v>520.1290322580645</v>
      </c>
      <c r="G134" s="148">
        <v>616.8064516129032</v>
      </c>
      <c r="H134" s="148">
        <v>576.9032258064516</v>
      </c>
      <c r="I134" s="148">
        <v>135.09677419354838</v>
      </c>
      <c r="J134" s="282">
        <v>3662.032258064516</v>
      </c>
      <c r="K134" s="282"/>
      <c r="L134" s="148">
        <v>305.8709677419355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</v>
      </c>
      <c r="X134" s="148">
        <v>4350.5161290322585</v>
      </c>
      <c r="Y134" s="148"/>
      <c r="Z134" s="148"/>
      <c r="AA134" s="148">
        <v>391.5483870967742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</v>
      </c>
      <c r="AJ134" s="252">
        <v>94120</v>
      </c>
    </row>
    <row r="135" spans="3:36" ht="12.75">
      <c r="C135" s="182">
        <f t="shared" si="7"/>
        <v>2004.6666624000063</v>
      </c>
      <c r="D135" s="152">
        <v>38200</v>
      </c>
      <c r="E135" s="148">
        <v>595.6451612903226</v>
      </c>
      <c r="F135" s="148">
        <v>554.9032258064516</v>
      </c>
      <c r="G135" s="148">
        <v>642.9677419354839</v>
      </c>
      <c r="H135" s="148">
        <v>524.7096774193549</v>
      </c>
      <c r="I135" s="148">
        <v>136.48387096774192</v>
      </c>
      <c r="J135" s="282">
        <v>3615.6451612903224</v>
      </c>
      <c r="K135" s="282"/>
      <c r="L135" s="148">
        <v>302.7096774193548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</v>
      </c>
      <c r="V135" s="148"/>
      <c r="W135" s="148">
        <v>31762.1935483871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</v>
      </c>
      <c r="AD135" s="148"/>
      <c r="AE135" s="148"/>
      <c r="AF135" s="148"/>
      <c r="AG135" s="148"/>
      <c r="AH135" s="148"/>
      <c r="AI135" s="148">
        <f>SUM(E135:AC135)</f>
        <v>93919.12903225806</v>
      </c>
      <c r="AJ135" s="252">
        <v>94120</v>
      </c>
    </row>
    <row r="136" spans="3:36" ht="12.75">
      <c r="C136" s="182">
        <f t="shared" si="7"/>
        <v>2004.7499957000064</v>
      </c>
      <c r="D136" s="152">
        <v>38231</v>
      </c>
      <c r="E136" s="148">
        <v>617</v>
      </c>
      <c r="F136" s="148">
        <v>539.8</v>
      </c>
      <c r="G136" s="148">
        <v>683.8</v>
      </c>
      <c r="H136" s="148">
        <v>668.7</v>
      </c>
      <c r="I136" s="148">
        <v>135.56666666666666</v>
      </c>
      <c r="J136" s="282">
        <v>3657.0333333333333</v>
      </c>
      <c r="K136" s="282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6" ht="12.75">
      <c r="C137" s="182">
        <f t="shared" si="7"/>
        <v>2004.8333290000064</v>
      </c>
      <c r="D137" s="152">
        <v>38261</v>
      </c>
      <c r="E137" s="148">
        <v>659.7096774193549</v>
      </c>
      <c r="F137" s="148">
        <v>550.8709677419355</v>
      </c>
      <c r="G137" s="148">
        <v>776.1935483870968</v>
      </c>
      <c r="H137" s="148">
        <v>776.0967741935484</v>
      </c>
      <c r="I137" s="148">
        <v>130.74193548387098</v>
      </c>
      <c r="J137" s="282">
        <v>3615.483870967742</v>
      </c>
      <c r="K137" s="282"/>
      <c r="L137" s="148">
        <v>299.9032258064516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29186.41935483871</v>
      </c>
      <c r="Y137" s="148"/>
      <c r="Z137" s="148"/>
      <c r="AA137" s="148">
        <v>329.2258064516129</v>
      </c>
      <c r="AB137" s="148"/>
      <c r="AC137" s="148">
        <v>3959.032258064516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6" ht="12.75">
      <c r="C138" s="182">
        <f t="shared" si="7"/>
        <v>2004.9166623000065</v>
      </c>
      <c r="D138" s="152">
        <v>38292</v>
      </c>
      <c r="E138" s="148">
        <v>736.6333333333333</v>
      </c>
      <c r="F138" s="148">
        <v>551.9</v>
      </c>
      <c r="G138" s="148">
        <v>815.0333333333333</v>
      </c>
      <c r="H138" s="148">
        <v>862.1666666666666</v>
      </c>
      <c r="I138" s="148">
        <v>134.76666666666668</v>
      </c>
      <c r="J138" s="282">
        <v>3553.5666666666666</v>
      </c>
      <c r="K138" s="282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3953.866666666667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ht="12.75">
      <c r="C139" s="182">
        <f t="shared" si="7"/>
        <v>2004.9999956000065</v>
      </c>
      <c r="D139" s="152">
        <v>38322</v>
      </c>
      <c r="E139" s="148">
        <v>705.3870967741935</v>
      </c>
      <c r="F139" s="148">
        <v>551.6774193548387</v>
      </c>
      <c r="G139" s="148">
        <v>817.0967741935484</v>
      </c>
      <c r="H139" s="148">
        <v>869.9677419354839</v>
      </c>
      <c r="I139" s="148">
        <v>134.6451612903226</v>
      </c>
      <c r="J139" s="282">
        <v>3515</v>
      </c>
      <c r="K139" s="282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ht="12.75">
      <c r="C140" s="182">
        <f>+C139+0.0833333</f>
        <v>2005.0833289000066</v>
      </c>
      <c r="D140" s="152">
        <v>38353</v>
      </c>
      <c r="E140" s="148">
        <v>733.3548387096774</v>
      </c>
      <c r="F140" s="148">
        <v>552.0322580645161</v>
      </c>
      <c r="G140" s="148">
        <v>906.3548387096774</v>
      </c>
      <c r="H140" s="148">
        <v>877.483870967742</v>
      </c>
      <c r="I140" s="148">
        <v>139.7741935483871</v>
      </c>
      <c r="J140" s="282">
        <v>3414</v>
      </c>
      <c r="K140" s="282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303.7741935483871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6" ht="12.75">
      <c r="C141" s="182">
        <f t="shared" si="7"/>
        <v>2005.1666622000066</v>
      </c>
      <c r="D141" s="152">
        <v>38384</v>
      </c>
      <c r="E141" s="148">
        <v>776.2857142857143</v>
      </c>
      <c r="F141" s="148">
        <v>548.9642857142857</v>
      </c>
      <c r="G141" s="148">
        <v>893.2142857142857</v>
      </c>
      <c r="H141" s="148">
        <v>844.7857142857143</v>
      </c>
      <c r="I141" s="148">
        <v>144.14285714285714</v>
      </c>
      <c r="J141" s="282">
        <v>3357</v>
      </c>
      <c r="K141" s="282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</v>
      </c>
      <c r="T141" s="148"/>
      <c r="U141" s="148">
        <v>18901.785714285714</v>
      </c>
      <c r="V141" s="148"/>
      <c r="W141" s="148">
        <v>27820.785714285714</v>
      </c>
      <c r="X141" s="148">
        <v>34555.82142857143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6" ht="12.75">
      <c r="C142" s="182">
        <f t="shared" si="7"/>
        <v>2005.2499955000067</v>
      </c>
      <c r="D142" s="152">
        <v>38412</v>
      </c>
      <c r="E142" s="148">
        <v>735.6129032258065</v>
      </c>
      <c r="F142" s="148">
        <v>545.4516129032259</v>
      </c>
      <c r="G142" s="148">
        <v>893.5483870967741</v>
      </c>
      <c r="H142" s="148">
        <v>731.6451612903226</v>
      </c>
      <c r="I142" s="148">
        <v>116.35483870967742</v>
      </c>
      <c r="J142" s="282">
        <v>3434.3225806451615</v>
      </c>
      <c r="K142" s="282"/>
      <c r="L142" s="148">
        <v>291.258064516129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6" ht="12.7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82">
        <v>3363</v>
      </c>
      <c r="K143" s="282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6" ht="12.7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282">
        <v>3416</v>
      </c>
      <c r="K144" s="282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aca="true" t="shared" si="14" ref="AI144:AI150">SUM(E144:AC144)</f>
        <v>111568</v>
      </c>
      <c r="AJ144" s="252">
        <v>111295</v>
      </c>
    </row>
    <row r="145" spans="3:36" ht="12.7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282">
        <v>3386</v>
      </c>
      <c r="K145" s="282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ht="12.7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82">
        <v>3353</v>
      </c>
      <c r="K146" s="282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36" ht="12.75">
      <c r="C147" s="182">
        <f>+C146+0.0833333</f>
        <v>2005.666662000007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82">
        <v>3355</v>
      </c>
      <c r="K147" s="282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36" ht="12.7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82">
        <v>3402</v>
      </c>
      <c r="K148" s="282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36" ht="12.7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82">
        <v>3320</v>
      </c>
      <c r="K149" s="282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36" ht="12.75">
      <c r="C150" s="182">
        <f>+C149+0.0833333</f>
        <v>2005.916661900007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82">
        <v>3087</v>
      </c>
      <c r="K150" s="286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36" ht="12.75">
      <c r="C151" s="182">
        <f>+C150+0.0833333</f>
        <v>2005.999995200007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82">
        <v>3053</v>
      </c>
      <c r="K151" s="286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aca="true" t="shared" si="15" ref="AI151:AI210">SUM(E151:AC151)</f>
        <v>106688</v>
      </c>
      <c r="AJ151" s="252">
        <v>111295</v>
      </c>
    </row>
    <row r="152" spans="3:36" ht="12.75">
      <c r="C152" s="182">
        <f aca="true" t="shared" si="16" ref="C152:C187">+C151+0.0833333</f>
        <v>2006.0833285000072</v>
      </c>
      <c r="D152" s="152">
        <v>38718</v>
      </c>
      <c r="E152" s="148">
        <v>790.32</v>
      </c>
      <c r="F152" s="148">
        <v>599.935</v>
      </c>
      <c r="G152" s="148">
        <v>893.387</v>
      </c>
      <c r="H152" s="148">
        <v>771.387</v>
      </c>
      <c r="I152" s="148">
        <v>130.8387097</v>
      </c>
      <c r="J152" s="282">
        <v>3163.19</v>
      </c>
      <c r="K152" s="282"/>
      <c r="L152" s="148">
        <v>283.548</v>
      </c>
      <c r="M152" s="148">
        <v>12448.70915</v>
      </c>
      <c r="N152" s="155"/>
      <c r="O152" s="148">
        <v>1.419</v>
      </c>
      <c r="P152" s="155"/>
      <c r="Q152" s="148">
        <v>19.3548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543.516</v>
      </c>
      <c r="AB152" s="148">
        <v>0</v>
      </c>
      <c r="AC152" s="148">
        <v>3521.323</v>
      </c>
      <c r="AD152" s="148"/>
      <c r="AE152" s="148"/>
      <c r="AF152" s="148"/>
      <c r="AG152" s="148"/>
      <c r="AH152" s="148"/>
      <c r="AI152" s="151">
        <f t="shared" si="15"/>
        <v>112929.7587497</v>
      </c>
      <c r="AJ152" s="252">
        <v>115581</v>
      </c>
    </row>
    <row r="153" spans="3:36" ht="12.7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86">
        <v>3199</v>
      </c>
      <c r="K153" s="286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36" ht="12.7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86">
        <v>3167</v>
      </c>
      <c r="K154" s="286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aca="true" t="shared" si="17" ref="AJ154:AJ162">+AJ153</f>
        <v>115581</v>
      </c>
    </row>
    <row r="155" spans="3:36" ht="12.7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86">
        <v>3182</v>
      </c>
      <c r="K155" s="286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36" ht="12.7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82">
        <v>3146</v>
      </c>
      <c r="K156" s="282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36" ht="12.7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82">
        <v>3103</v>
      </c>
      <c r="K157" s="282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36" ht="12.75">
      <c r="C158" s="182">
        <f t="shared" si="16"/>
        <v>2006.5833283000075</v>
      </c>
      <c r="D158" s="152">
        <v>38899</v>
      </c>
      <c r="E158" s="148">
        <v>772.741935483871</v>
      </c>
      <c r="F158" s="148">
        <v>574.9354838709677</v>
      </c>
      <c r="G158" s="148">
        <v>922.5806451612904</v>
      </c>
      <c r="H158" s="148">
        <v>1214.0645161290322</v>
      </c>
      <c r="I158" s="148">
        <v>131.16129032258064</v>
      </c>
      <c r="J158" s="282">
        <v>3059.6451612903224</v>
      </c>
      <c r="K158" s="282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</v>
      </c>
      <c r="AB158" s="148">
        <v>0</v>
      </c>
      <c r="AC158" s="148">
        <v>3348.451612903226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36" ht="12.75">
      <c r="C159" s="182">
        <f t="shared" si="16"/>
        <v>2006.6666616000075</v>
      </c>
      <c r="D159" s="152">
        <v>38930</v>
      </c>
      <c r="E159" s="148">
        <v>778.0645161290323</v>
      </c>
      <c r="F159" s="148">
        <v>586.8387096774194</v>
      </c>
      <c r="G159" s="148">
        <v>905.2903225806451</v>
      </c>
      <c r="H159" s="148">
        <f>34130/31</f>
        <v>1100.967741935484</v>
      </c>
      <c r="I159" s="148">
        <v>136.8709677419355</v>
      </c>
      <c r="J159" s="285">
        <f>93766/31</f>
        <v>3024.7096774193546</v>
      </c>
      <c r="K159" s="285"/>
      <c r="L159" s="148">
        <v>289.5806451612903</v>
      </c>
      <c r="M159" s="148">
        <f>403648/31</f>
        <v>13020.90322580645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</v>
      </c>
      <c r="T159" s="148"/>
      <c r="U159" s="148">
        <f>553005/31</f>
        <v>17838.870967741936</v>
      </c>
      <c r="V159" s="148"/>
      <c r="W159" s="148">
        <f>917346/31</f>
        <v>29591.8064516129</v>
      </c>
      <c r="X159" s="148">
        <f>1134623/31</f>
        <v>36600.74193548387</v>
      </c>
      <c r="Y159" s="148"/>
      <c r="Z159" s="148"/>
      <c r="AA159" s="148">
        <v>235.6451612903226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39" ht="12.7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86">
        <v>2984</v>
      </c>
      <c r="K160" s="286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ht="12.7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82">
        <v>3008</v>
      </c>
      <c r="K161" s="282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ht="12.7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86">
        <v>2909</v>
      </c>
      <c r="K162" s="286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ht="12.7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82">
        <v>2685</v>
      </c>
      <c r="K163" s="282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ht="12.7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86">
        <v>2853</v>
      </c>
      <c r="K164" s="286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ht="12.75">
      <c r="C165" s="182">
        <f t="shared" si="16"/>
        <v>2007.1666614000078</v>
      </c>
      <c r="D165" s="152">
        <v>39114</v>
      </c>
      <c r="E165" s="148">
        <v>729.3928571428571</v>
      </c>
      <c r="F165" s="148">
        <v>553.6071428571429</v>
      </c>
      <c r="G165" s="148">
        <v>804.0357142857143</v>
      </c>
      <c r="H165" s="148">
        <f>40071/28</f>
        <v>1431.107142857143</v>
      </c>
      <c r="I165" s="148">
        <v>140</v>
      </c>
      <c r="J165" s="282">
        <f>80304/28</f>
        <v>2868</v>
      </c>
      <c r="K165" s="282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13135.32142857143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ht="12.7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82">
        <v>2812</v>
      </c>
      <c r="K166" s="282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</v>
      </c>
      <c r="V166" s="148"/>
      <c r="W166" s="148">
        <f>845517/31</f>
        <v>27274.74193548387</v>
      </c>
      <c r="X166" s="148">
        <f>850276/31</f>
        <v>27428.25806451613</v>
      </c>
      <c r="Y166" s="148"/>
      <c r="Z166" s="148"/>
      <c r="AA166" s="148">
        <v>540.0645161290323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</v>
      </c>
      <c r="AJ166" s="252">
        <f>+AJ165</f>
        <v>113869</v>
      </c>
    </row>
    <row r="167" spans="3:36" ht="12.75">
      <c r="C167" s="182">
        <f t="shared" si="16"/>
        <v>2007.333328000008</v>
      </c>
      <c r="D167" s="152">
        <v>39173</v>
      </c>
      <c r="E167" s="148">
        <v>812.7</v>
      </c>
      <c r="F167" s="148">
        <v>533.7666666666667</v>
      </c>
      <c r="G167" s="148">
        <v>867.4</v>
      </c>
      <c r="H167" s="148">
        <f>39250/30</f>
        <v>1308.3333333333333</v>
      </c>
      <c r="I167" s="148">
        <v>159.8</v>
      </c>
      <c r="J167" s="285">
        <f>90267/30</f>
        <v>3008.9</v>
      </c>
      <c r="K167" s="285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ht="12.75">
      <c r="C168" s="182">
        <f t="shared" si="16"/>
        <v>2007.416661300008</v>
      </c>
      <c r="D168" s="152">
        <v>39203</v>
      </c>
      <c r="E168" s="156">
        <f>27814/31</f>
        <v>897.2258064516129</v>
      </c>
      <c r="F168" s="156">
        <f>16066/31</f>
        <v>518.258064516129</v>
      </c>
      <c r="G168" s="148">
        <f>33149/31</f>
        <v>1069.3225806451612</v>
      </c>
      <c r="H168" s="155">
        <f>44764/31</f>
        <v>1444</v>
      </c>
      <c r="I168" s="156">
        <f>6754/31</f>
        <v>217.8709677419355</v>
      </c>
      <c r="J168" s="285">
        <f>91935/31</f>
        <v>2965.6451612903224</v>
      </c>
      <c r="K168" s="285"/>
      <c r="L168" s="156">
        <f>8268/31</f>
        <v>266.7096774193548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361.8709677419355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ht="12.7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</v>
      </c>
      <c r="G169" s="148">
        <f>27660/30</f>
        <v>922</v>
      </c>
      <c r="H169" s="156">
        <f>43522/30</f>
        <v>1450.7333333333333</v>
      </c>
      <c r="I169" s="156">
        <v>169.7</v>
      </c>
      <c r="J169" s="285">
        <f>87309/30</f>
        <v>2910.3</v>
      </c>
      <c r="K169" s="285"/>
      <c r="L169" s="156">
        <v>272.1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70.83333333333333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aca="true" t="shared" si="18" ref="AJ169:AJ175">+AJ168</f>
        <v>113869</v>
      </c>
    </row>
    <row r="170" spans="3:36" ht="12.75">
      <c r="C170" s="182">
        <f t="shared" si="16"/>
        <v>2007.583327900008</v>
      </c>
      <c r="D170" s="152">
        <v>39264</v>
      </c>
      <c r="E170" s="156">
        <f>27640/31</f>
        <v>891.6129032258065</v>
      </c>
      <c r="F170" s="156">
        <v>560</v>
      </c>
      <c r="G170" s="156">
        <v>908.2258064516129</v>
      </c>
      <c r="H170" s="156">
        <f>44203/31</f>
        <v>1425.9032258064517</v>
      </c>
      <c r="I170" s="156">
        <v>143.58064516129033</v>
      </c>
      <c r="J170" s="285">
        <f>90019/31</f>
        <v>2903.8387096774195</v>
      </c>
      <c r="K170" s="285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</v>
      </c>
      <c r="S170" s="156">
        <f>346162/31</f>
        <v>11166.516129032258</v>
      </c>
      <c r="T170" s="156"/>
      <c r="U170" s="156">
        <f>535440/31</f>
        <v>17272.25806451613</v>
      </c>
      <c r="V170" s="156"/>
      <c r="W170" s="156">
        <f>837386/31</f>
        <v>27012.451612903227</v>
      </c>
      <c r="X170" s="156">
        <f>1133924/31</f>
        <v>36578.1935483871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ht="12.75">
      <c r="C171" s="182">
        <f t="shared" si="16"/>
        <v>2007.666661200008</v>
      </c>
      <c r="D171" s="152">
        <v>39295</v>
      </c>
      <c r="E171" s="156">
        <f>24742/31</f>
        <v>798.1290322580645</v>
      </c>
      <c r="F171" s="156">
        <v>590.2903225806451</v>
      </c>
      <c r="G171" s="156">
        <v>947.3548387096774</v>
      </c>
      <c r="H171" s="156">
        <f>57029/31</f>
        <v>1839.6451612903227</v>
      </c>
      <c r="I171" s="156">
        <v>137.2258064516129</v>
      </c>
      <c r="J171" s="285">
        <f>89184/31</f>
        <v>2876.9032258064517</v>
      </c>
      <c r="K171" s="285"/>
      <c r="L171" s="156">
        <v>268.3225806451613</v>
      </c>
      <c r="M171" s="156">
        <f>411277/31</f>
        <v>13267</v>
      </c>
      <c r="N171" s="156"/>
      <c r="O171" s="156">
        <v>0.7741935483870968</v>
      </c>
      <c r="P171" s="156"/>
      <c r="Q171" s="156">
        <v>18.774193548387096</v>
      </c>
      <c r="R171" s="156">
        <v>54.29032258064516</v>
      </c>
      <c r="S171" s="156">
        <f>301436/31</f>
        <v>9723.741935483871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</v>
      </c>
      <c r="Y171" s="156"/>
      <c r="Z171" s="156"/>
      <c r="AA171" s="156">
        <v>671.0967741935484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ht="12.75">
      <c r="C172" s="182">
        <f t="shared" si="16"/>
        <v>2007.7499945000081</v>
      </c>
      <c r="D172" s="152">
        <v>39326</v>
      </c>
      <c r="E172" s="156">
        <f>25027/30</f>
        <v>834.2333333333333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285">
        <f>86428/30</f>
        <v>2880.9333333333334</v>
      </c>
      <c r="K172" s="285"/>
      <c r="L172" s="156">
        <f>8015/30</f>
        <v>267.1666666666667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35256.2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ht="12.7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546.6451612903226</v>
      </c>
      <c r="G173" s="156">
        <f>40251/31</f>
        <v>1298.4193548387098</v>
      </c>
      <c r="H173" s="156">
        <f>60333/31</f>
        <v>1946.225806451613</v>
      </c>
      <c r="I173" s="156">
        <v>165.3548387096774</v>
      </c>
      <c r="J173" s="285">
        <f>87919/31</f>
        <v>2836.0967741935483</v>
      </c>
      <c r="K173" s="285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42.61290322580645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</v>
      </c>
      <c r="Y173" s="148"/>
      <c r="Z173" s="148"/>
      <c r="AA173" s="148">
        <f>14437/31</f>
        <v>465.7096774193548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ht="12.7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285">
        <f>84130/30</f>
        <v>2804.3333333333335</v>
      </c>
      <c r="K174" s="285"/>
      <c r="L174" s="156">
        <f>7857/30</f>
        <v>261.9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ht="12.7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674.9354838709677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285">
        <f>82208/31</f>
        <v>2651.8709677419356</v>
      </c>
      <c r="K175" s="285"/>
      <c r="L175" s="156">
        <f>7761/31</f>
        <v>250.3548387096774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</v>
      </c>
      <c r="U175" s="156">
        <f>531766/31</f>
        <v>17153.74193548387</v>
      </c>
      <c r="V175" s="156"/>
      <c r="W175" s="156">
        <f>756499/31</f>
        <v>24403.1935483871</v>
      </c>
      <c r="X175" s="156">
        <f>1115578/31</f>
        <v>35986.3870967742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118235.7741935484</v>
      </c>
      <c r="AJ175" s="252">
        <f t="shared" si="18"/>
        <v>113869</v>
      </c>
    </row>
    <row r="176" spans="3:36" ht="12.75">
      <c r="C176" s="182">
        <f t="shared" si="16"/>
        <v>2008.0833277000083</v>
      </c>
      <c r="D176" s="152">
        <v>39448</v>
      </c>
      <c r="E176" s="156">
        <f>27460/31</f>
        <v>885.8064516129032</v>
      </c>
      <c r="F176" s="156">
        <f>19191/31</f>
        <v>619.0645161290323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285">
        <f>86419/31</f>
        <v>2787.7096774193546</v>
      </c>
      <c r="K176" s="285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</v>
      </c>
      <c r="U176" s="156">
        <f>523996/31</f>
        <v>16903.09677419355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ht="12.75">
      <c r="C177" s="182">
        <f t="shared" si="16"/>
        <v>2008.1666610000084</v>
      </c>
      <c r="D177" s="152">
        <v>39479</v>
      </c>
      <c r="E177" s="156">
        <f>24932/29</f>
        <v>859.7241379310345</v>
      </c>
      <c r="F177" s="156">
        <f>18208/29</f>
        <v>627.8620689655172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285">
        <f>74593/29</f>
        <v>2572.1724137931033</v>
      </c>
      <c r="K177" s="285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19.93103448275862</v>
      </c>
      <c r="R177" s="155">
        <f>1189/29</f>
        <v>41</v>
      </c>
      <c r="S177" s="156">
        <f>311917/29</f>
        <v>10755.758620689656</v>
      </c>
      <c r="T177" s="156">
        <f>27704/29</f>
        <v>955.3103448275862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</v>
      </c>
      <c r="Y177" s="156"/>
      <c r="Z177" s="156"/>
      <c r="AA177" s="156">
        <f>11246/29</f>
        <v>387.7931034482759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aca="true" t="shared" si="19" ref="AJ177:AJ187">+AJ176</f>
        <v>120028</v>
      </c>
    </row>
    <row r="178" spans="3:36" ht="12.75">
      <c r="C178" s="182">
        <f t="shared" si="16"/>
        <v>2008.2499943000084</v>
      </c>
      <c r="D178" s="152">
        <v>39508</v>
      </c>
      <c r="E178" s="148">
        <v>942.7096774193549</v>
      </c>
      <c r="F178" s="148">
        <v>645.2258064516129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82">
        <f>85577/31</f>
        <v>2760.548387096774</v>
      </c>
      <c r="K178" s="282"/>
      <c r="L178" s="148">
        <v>253.6451612903226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</v>
      </c>
      <c r="AJ178" s="252">
        <f t="shared" si="19"/>
        <v>120028</v>
      </c>
    </row>
    <row r="179" spans="3:36" ht="12.7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</v>
      </c>
      <c r="G179" s="148">
        <f>34443/30</f>
        <v>1148.1</v>
      </c>
      <c r="H179" s="148">
        <f>51412/30</f>
        <v>1713.7333333333333</v>
      </c>
      <c r="I179" s="148">
        <f>5491/30</f>
        <v>183.03333333333333</v>
      </c>
      <c r="J179" s="282">
        <f>82758/30</f>
        <v>2758.6</v>
      </c>
      <c r="K179" s="282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2736.266666666667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ht="12.7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729.741935483871</v>
      </c>
      <c r="G180" s="148">
        <v>1041.8064516129032</v>
      </c>
      <c r="H180" s="148">
        <f>46262/31</f>
        <v>1492.3225806451612</v>
      </c>
      <c r="I180" s="148">
        <v>214.19354838709677</v>
      </c>
      <c r="J180" s="285">
        <f>85851/31</f>
        <v>2769.3870967741937</v>
      </c>
      <c r="K180" s="285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23602.41935483871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ht="12.7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</v>
      </c>
      <c r="G181" s="148">
        <f>34861/30</f>
        <v>1162.0333333333333</v>
      </c>
      <c r="H181" s="148">
        <f>57560/30</f>
        <v>1918.6666666666667</v>
      </c>
      <c r="I181" s="148">
        <v>257.3333333333333</v>
      </c>
      <c r="J181" s="285">
        <f>87560/30</f>
        <v>2918.6666666666665</v>
      </c>
      <c r="K181" s="285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34.46666666666667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ht="12.75">
      <c r="C182" s="182">
        <f t="shared" si="16"/>
        <v>2008.5833275000086</v>
      </c>
      <c r="D182" s="152">
        <v>39630</v>
      </c>
      <c r="E182" s="148">
        <f>28258/31</f>
        <v>911.5483870967741</v>
      </c>
      <c r="F182" s="148">
        <v>719.741935483871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85">
        <f>88738/31</f>
        <v>2862.516129032258</v>
      </c>
      <c r="K182" s="285"/>
      <c r="L182" s="148">
        <v>274.8709677419355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</v>
      </c>
      <c r="U182" s="148">
        <f>486608/31</f>
        <v>15697.032258064517</v>
      </c>
      <c r="V182" s="148"/>
      <c r="W182" s="148">
        <f>715300/31</f>
        <v>23074.1935483871</v>
      </c>
      <c r="X182" s="148">
        <f>1097799/31</f>
        <v>35412.87096774193</v>
      </c>
      <c r="Y182" s="148"/>
      <c r="Z182" s="148"/>
      <c r="AA182" s="148">
        <v>401.9032258064516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ht="12.75">
      <c r="C183" s="182">
        <f t="shared" si="16"/>
        <v>2008.6666608000087</v>
      </c>
      <c r="D183" s="152">
        <v>39661</v>
      </c>
      <c r="E183" s="148">
        <v>897.9354838709677</v>
      </c>
      <c r="F183" s="148">
        <v>657.8387096774194</v>
      </c>
      <c r="G183" s="148">
        <f>66642/31</f>
        <v>2149.7419354838707</v>
      </c>
      <c r="H183" s="148">
        <f>48587/31</f>
        <v>1567.3225806451612</v>
      </c>
      <c r="I183" s="148">
        <v>221.4516129032258</v>
      </c>
      <c r="J183" s="282">
        <f>88926/31</f>
        <v>2868.5806451612902</v>
      </c>
      <c r="K183" s="282"/>
      <c r="L183" s="148">
        <v>271.5483870967742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34.74193548387097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</v>
      </c>
      <c r="X183" s="148">
        <f>998153/31</f>
        <v>32198.483870967742</v>
      </c>
      <c r="Y183" s="148"/>
      <c r="Z183" s="148"/>
      <c r="AA183" s="148">
        <f>14932/31</f>
        <v>481.6774193548387</v>
      </c>
      <c r="AB183" s="148">
        <f>3556/31</f>
        <v>114.70967741935483</v>
      </c>
      <c r="AC183" s="148">
        <f>84229/31</f>
        <v>2717.064516129032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ht="12.7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2379.2</v>
      </c>
      <c r="H184" s="148">
        <f>44224/30</f>
        <v>1474.1333333333334</v>
      </c>
      <c r="I184" s="148">
        <v>221.56666666666666</v>
      </c>
      <c r="J184" s="282">
        <f>86401/30</f>
        <v>2880.0333333333333</v>
      </c>
      <c r="K184" s="282"/>
      <c r="L184" s="148">
        <v>267.3666666666667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ht="12.7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82">
        <v>2812</v>
      </c>
      <c r="K185" s="282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34168.3870967742</v>
      </c>
      <c r="Z185" s="148"/>
      <c r="AA185" s="148">
        <f>11488/31</f>
        <v>370.5806451612903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</v>
      </c>
      <c r="AJ185" s="252">
        <f t="shared" si="19"/>
        <v>120028</v>
      </c>
    </row>
    <row r="186" spans="3:36" ht="12.7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</v>
      </c>
      <c r="H186" s="148">
        <f>42462/30</f>
        <v>1415.4</v>
      </c>
      <c r="I186" s="148">
        <f>5979/30</f>
        <v>199.3</v>
      </c>
      <c r="J186" s="282">
        <f>80326/30</f>
        <v>2677.5333333333333</v>
      </c>
      <c r="K186" s="282"/>
      <c r="L186" s="148">
        <f>8778/30</f>
        <v>292.6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65.33333333333333</v>
      </c>
      <c r="AC186" s="148">
        <f>73326/30</f>
        <v>2444.2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ht="12.75">
      <c r="C187" s="182">
        <f t="shared" si="16"/>
        <v>2008.9999940000089</v>
      </c>
      <c r="D187" s="152">
        <v>39783</v>
      </c>
      <c r="E187" s="148">
        <f>25961/31</f>
        <v>837.4516129032259</v>
      </c>
      <c r="F187" s="148">
        <v>719.8387096774194</v>
      </c>
      <c r="G187" s="148">
        <f>137822/31</f>
        <v>4445.870967741936</v>
      </c>
      <c r="H187" s="148">
        <f>41643/31</f>
        <v>1343.3225806451612</v>
      </c>
      <c r="I187" s="148">
        <f>5602/31</f>
        <v>180.70967741935485</v>
      </c>
      <c r="J187" s="282">
        <f>79547/31</f>
        <v>2566.032258064516</v>
      </c>
      <c r="K187" s="282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34.16129032258065</v>
      </c>
      <c r="S187" s="148">
        <f>277610/31</f>
        <v>8955.161290322581</v>
      </c>
      <c r="T187" s="148">
        <f>165068/31</f>
        <v>5324.774193548387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</v>
      </c>
      <c r="Y187" s="148">
        <f>1072348/31</f>
        <v>34591.87096774193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ht="12.75">
      <c r="C188" s="182">
        <f aca="true" t="shared" si="20" ref="C188:C205">+C187+0.0833333</f>
        <v>2009.083327300009</v>
      </c>
      <c r="D188" s="152">
        <v>39814</v>
      </c>
      <c r="E188" s="148">
        <f>26268/31</f>
        <v>847.3548387096774</v>
      </c>
      <c r="F188" s="148">
        <f>20763/31</f>
        <v>669.7741935483871</v>
      </c>
      <c r="G188" s="148">
        <f>159814/31</f>
        <v>5155.290322580645</v>
      </c>
      <c r="H188" s="148">
        <f>39787/31</f>
        <v>1283.4516129032259</v>
      </c>
      <c r="I188" s="148">
        <f>5691/31</f>
        <v>183.58064516129033</v>
      </c>
      <c r="J188" s="282">
        <f>84836/31</f>
        <v>2736.6451612903224</v>
      </c>
      <c r="K188" s="282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36.16129032258065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148439.8387096774</v>
      </c>
      <c r="AJ188" s="252">
        <v>145280</v>
      </c>
    </row>
    <row r="189" spans="3:36" ht="12.75">
      <c r="C189" s="182">
        <f t="shared" si="20"/>
        <v>2009.166660600009</v>
      </c>
      <c r="D189" s="152">
        <v>39845</v>
      </c>
      <c r="E189" s="148">
        <f>23332/28</f>
        <v>833.2857142857143</v>
      </c>
      <c r="F189" s="148">
        <f>18470/28</f>
        <v>659.6428571428571</v>
      </c>
      <c r="G189" s="148">
        <f>135801/28</f>
        <v>4850.035714285715</v>
      </c>
      <c r="H189" s="148">
        <f>35764/28</f>
        <v>1277.2857142857142</v>
      </c>
      <c r="I189" s="148">
        <f>4464/28</f>
        <v>159.42857142857142</v>
      </c>
      <c r="J189" s="282">
        <f>77894/28</f>
        <v>2781.9285714285716</v>
      </c>
      <c r="K189" s="282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31040.64285714286</v>
      </c>
      <c r="Y189" s="148">
        <f>968018/28</f>
        <v>34572.07142857143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</v>
      </c>
      <c r="AJ189" s="252">
        <f aca="true" t="shared" si="21" ref="AJ189:AJ207">+AJ188</f>
        <v>145280</v>
      </c>
    </row>
    <row r="190" spans="3:36" ht="12.75">
      <c r="C190" s="182">
        <f t="shared" si="20"/>
        <v>2009.249993900009</v>
      </c>
      <c r="D190" s="152">
        <v>39873</v>
      </c>
      <c r="E190" s="148">
        <f>24999/31</f>
        <v>806.4193548387096</v>
      </c>
      <c r="F190" s="148">
        <f>20242/31</f>
        <v>652.9677419354839</v>
      </c>
      <c r="G190" s="148">
        <f>151809/31</f>
        <v>4897.064516129032</v>
      </c>
      <c r="H190" s="148">
        <f>38367/31</f>
        <v>1237.6451612903227</v>
      </c>
      <c r="I190" s="148">
        <f>5380/31</f>
        <v>173.5483870967742</v>
      </c>
      <c r="J190" s="282">
        <f>85996/31</f>
        <v>2774.064516129032</v>
      </c>
      <c r="K190" s="282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33207.83870967742</v>
      </c>
      <c r="Y190" s="148">
        <f>1084999/31</f>
        <v>34999.967741935485</v>
      </c>
      <c r="Z190" s="148"/>
      <c r="AA190" s="148">
        <f>11945/31</f>
        <v>385.3225806451613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ht="12.75">
      <c r="C191" s="182">
        <f t="shared" si="20"/>
        <v>2009.333327200009</v>
      </c>
      <c r="D191" s="152">
        <v>39904</v>
      </c>
      <c r="E191" s="148">
        <f>24358/30</f>
        <v>811.9333333333333</v>
      </c>
      <c r="F191" s="148">
        <f>19594/30</f>
        <v>653.1333333333333</v>
      </c>
      <c r="G191" s="148">
        <f>135941/30</f>
        <v>4531.366666666667</v>
      </c>
      <c r="H191" s="148">
        <f>37792/30</f>
        <v>1259.7333333333333</v>
      </c>
      <c r="I191" s="148">
        <f>4976/30</f>
        <v>165.86666666666667</v>
      </c>
      <c r="J191" s="282">
        <f>79835/30</f>
        <v>2661.1666666666665</v>
      </c>
      <c r="K191" s="282"/>
      <c r="L191" s="148">
        <f>7790/30</f>
        <v>259.6666666666667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ht="12.75">
      <c r="C192" s="182">
        <f t="shared" si="20"/>
        <v>2009.4166605000091</v>
      </c>
      <c r="D192" s="152">
        <v>39934</v>
      </c>
      <c r="E192" s="148">
        <f>25566/31</f>
        <v>824.7096774193549</v>
      </c>
      <c r="F192" s="148">
        <f>20461/31</f>
        <v>660.0322580645161</v>
      </c>
      <c r="G192" s="148">
        <f>141067/31</f>
        <v>4550.548387096775</v>
      </c>
      <c r="H192" s="148">
        <f>37494/31</f>
        <v>1209.483870967742</v>
      </c>
      <c r="I192" s="148">
        <f>5230/31</f>
        <v>168.70967741935485</v>
      </c>
      <c r="J192" s="282">
        <f>85955/31</f>
        <v>2772.7419354838707</v>
      </c>
      <c r="K192" s="282"/>
      <c r="L192" s="148">
        <f>8082/31</f>
        <v>260.7096774193548</v>
      </c>
      <c r="M192" s="148">
        <f>409390/31</f>
        <v>13206.129032258064</v>
      </c>
      <c r="N192" s="148"/>
      <c r="O192" s="148">
        <f>125892/31</f>
        <v>4061.032258064516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34288.3870967742</v>
      </c>
      <c r="Y192" s="148">
        <f>1128986/31</f>
        <v>36418.903225806454</v>
      </c>
      <c r="Z192" s="148"/>
      <c r="AA192" s="148">
        <f>11218/31</f>
        <v>361.8709677419355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36" ht="12.7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673.2666666666667</v>
      </c>
      <c r="G193" s="148">
        <f>123253/30</f>
        <v>4108.433333333333</v>
      </c>
      <c r="H193" s="148">
        <f>34743/30</f>
        <v>1158.1</v>
      </c>
      <c r="I193" s="148">
        <f>5168/30</f>
        <v>172.26666666666668</v>
      </c>
      <c r="J193" s="282">
        <f>83911/30</f>
        <v>2797.0333333333333</v>
      </c>
      <c r="K193" s="282"/>
      <c r="L193" s="148">
        <f>7789/30</f>
        <v>259.6333333333333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41.86666666666667</v>
      </c>
      <c r="S193" s="148">
        <f>251011/30</f>
        <v>8367.033333333333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</v>
      </c>
      <c r="Y193" s="148">
        <f>1091616/30</f>
        <v>36387.2</v>
      </c>
      <c r="Z193" s="148"/>
      <c r="AA193" s="148">
        <f>9124/30</f>
        <v>304.1333333333333</v>
      </c>
      <c r="AB193" s="148">
        <f>1399/30</f>
        <v>46.63333333333333</v>
      </c>
      <c r="AC193" s="148">
        <f>67641/30</f>
        <v>2254.7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36" ht="12.75">
      <c r="C194" s="182">
        <f t="shared" si="20"/>
        <v>2009.5833271000092</v>
      </c>
      <c r="D194" s="152">
        <v>39995</v>
      </c>
      <c r="E194" s="148">
        <f>24682/31</f>
        <v>796.1935483870968</v>
      </c>
      <c r="F194" s="158">
        <f>20152/31</f>
        <v>650.0645161290323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82">
        <f>84624/31</f>
        <v>2729.8064516129034</v>
      </c>
      <c r="K194" s="282"/>
      <c r="L194" s="148">
        <f>8208/31</f>
        <v>264.7741935483871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39.74193548387097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39845.45161290323</v>
      </c>
      <c r="Y194" s="148">
        <f>1063607/31</f>
        <v>34309.903225806454</v>
      </c>
      <c r="Z194" s="148"/>
      <c r="AA194" s="148">
        <f>11629/31</f>
        <v>375.1290322580645</v>
      </c>
      <c r="AB194" s="148">
        <f>4626/31</f>
        <v>149.2258064516129</v>
      </c>
      <c r="AC194" s="148">
        <f>86957/31</f>
        <v>2805.064516129032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36" ht="12.75">
      <c r="C195" s="182">
        <f t="shared" si="20"/>
        <v>2009.6666604000093</v>
      </c>
      <c r="D195" s="152">
        <v>40026</v>
      </c>
      <c r="E195" s="148">
        <f>25484/31</f>
        <v>822.0645161290323</v>
      </c>
      <c r="F195" s="148">
        <v>644.9354838709677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82">
        <f>90419/31</f>
        <v>2916.7419354838707</v>
      </c>
      <c r="K195" s="282"/>
      <c r="L195" s="148">
        <v>256.6774193548387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40.74193548387097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17842.09677419355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147233.5483870968</v>
      </c>
      <c r="AJ195" s="252">
        <f t="shared" si="21"/>
        <v>145280</v>
      </c>
    </row>
    <row r="196" spans="3:36" ht="12.75">
      <c r="C196" s="182">
        <f t="shared" si="20"/>
        <v>2009.7499937000093</v>
      </c>
      <c r="D196" s="152">
        <v>40057</v>
      </c>
      <c r="E196" s="148">
        <f>24770/30</f>
        <v>825.6666666666666</v>
      </c>
      <c r="F196" s="148">
        <f>19078/30</f>
        <v>635.9333333333333</v>
      </c>
      <c r="G196" s="148">
        <f>95066/30</f>
        <v>3168.866666666667</v>
      </c>
      <c r="H196" s="148">
        <f>32786/30</f>
        <v>1092.8666666666666</v>
      </c>
      <c r="I196" s="148">
        <f>5001/30</f>
        <v>166.7</v>
      </c>
      <c r="J196" s="282">
        <f>90750/30</f>
        <v>3025</v>
      </c>
      <c r="K196" s="282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2663.766666666667</v>
      </c>
      <c r="P196" s="148"/>
      <c r="Q196" s="148">
        <f>567/30</f>
        <v>18.9</v>
      </c>
      <c r="R196" s="148">
        <f>1264/30</f>
        <v>42.13333333333333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</v>
      </c>
      <c r="Y196" s="148">
        <f>998844/30</f>
        <v>33294.8</v>
      </c>
      <c r="Z196" s="148"/>
      <c r="AA196" s="148">
        <f>9141/30</f>
        <v>304.7</v>
      </c>
      <c r="AB196" s="148">
        <f>2656/30</f>
        <v>88.53333333333333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36" ht="12.75">
      <c r="C197" s="182">
        <f t="shared" si="20"/>
        <v>2009.8333270000094</v>
      </c>
      <c r="D197" s="152">
        <v>40087</v>
      </c>
      <c r="E197" s="148">
        <v>803.258064516129</v>
      </c>
      <c r="F197" s="148">
        <v>624.9032258064516</v>
      </c>
      <c r="G197" s="148">
        <f>97765/31</f>
        <v>3153.7096774193546</v>
      </c>
      <c r="H197" s="148">
        <v>1052.967741935484</v>
      </c>
      <c r="I197" s="148">
        <v>155.6451612903226</v>
      </c>
      <c r="J197" s="282">
        <f>107300/31</f>
        <v>3461.2903225806454</v>
      </c>
      <c r="K197" s="282"/>
      <c r="L197" s="148">
        <v>248.8709677419355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64.2258064516129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</v>
      </c>
      <c r="X197" s="148">
        <f>1221610/31</f>
        <v>39406.77419354839</v>
      </c>
      <c r="Y197" s="148">
        <f>1060820/31</f>
        <v>34220</v>
      </c>
      <c r="Z197" s="148"/>
      <c r="AA197" s="148">
        <f>12011/31</f>
        <v>387.4516129032258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36" ht="12.75">
      <c r="C198" s="182">
        <f t="shared" si="20"/>
        <v>2009.9166603000094</v>
      </c>
      <c r="D198" s="152">
        <v>40118</v>
      </c>
      <c r="E198" s="148">
        <v>806.4333333333333</v>
      </c>
      <c r="F198" s="148">
        <v>602.6333333333333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82">
        <f>108534/30</f>
        <v>3617.8</v>
      </c>
      <c r="K198" s="282"/>
      <c r="L198" s="148">
        <v>248.13333333333333</v>
      </c>
      <c r="M198" s="148">
        <f>390209/30</f>
        <v>13006.966666666667</v>
      </c>
      <c r="N198" s="148"/>
      <c r="O198" s="148">
        <f>89666/30</f>
        <v>2988.866666666667</v>
      </c>
      <c r="P198" s="148"/>
      <c r="Q198" s="148">
        <v>19.2</v>
      </c>
      <c r="R198" s="148">
        <v>62.46666666666667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42382.86666666667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36" ht="12.75">
      <c r="C199" s="182">
        <f t="shared" si="20"/>
        <v>2009.9999936000095</v>
      </c>
      <c r="D199" s="152">
        <v>40148</v>
      </c>
      <c r="E199" s="148">
        <v>826.258064516129</v>
      </c>
      <c r="F199" s="148">
        <v>611</v>
      </c>
      <c r="G199" s="148">
        <f>117597/31</f>
        <v>3793.451612903226</v>
      </c>
      <c r="H199" s="148">
        <v>1035</v>
      </c>
      <c r="I199" s="148">
        <v>173.48387096774192</v>
      </c>
      <c r="J199" s="282">
        <f>103950/31</f>
        <v>3353.2258064516127</v>
      </c>
      <c r="K199" s="282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58.61290322580645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</v>
      </c>
      <c r="X199" s="148">
        <f>1338558/31</f>
        <v>43179.290322580644</v>
      </c>
      <c r="Y199" s="148">
        <f>1076583/31</f>
        <v>34728.48387096774</v>
      </c>
      <c r="Z199" s="148"/>
      <c r="AA199" s="148">
        <f>9333/31</f>
        <v>301.06451612903226</v>
      </c>
      <c r="AB199" s="148">
        <f>2435/31</f>
        <v>78.54838709677419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152960.1935483871</v>
      </c>
      <c r="AJ199" s="252">
        <f t="shared" si="21"/>
        <v>145280</v>
      </c>
    </row>
    <row r="200" spans="3:36" ht="12.75">
      <c r="C200" s="182">
        <f t="shared" si="20"/>
        <v>2010.0833269000095</v>
      </c>
      <c r="D200" s="152">
        <v>40179</v>
      </c>
      <c r="E200" s="148">
        <v>894.9354838709677</v>
      </c>
      <c r="F200" s="148">
        <v>608.3870967741935</v>
      </c>
      <c r="G200" s="148">
        <f>120555/31</f>
        <v>3888.8709677419356</v>
      </c>
      <c r="H200" s="148">
        <v>1033.3548387096773</v>
      </c>
      <c r="I200" s="148">
        <v>228.8709677419355</v>
      </c>
      <c r="J200" s="282">
        <f>120268/31</f>
        <v>3879.6129032258063</v>
      </c>
      <c r="K200" s="282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3665.451612903226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33108.77419354839</v>
      </c>
      <c r="Z200" s="148"/>
      <c r="AA200" s="148">
        <v>380.8709677419355</v>
      </c>
      <c r="AB200" s="148">
        <v>115.25806451612904</v>
      </c>
      <c r="AC200" s="148">
        <f>84089/31</f>
        <v>2712.548387096774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36" s="138" customFormat="1" ht="12.75">
      <c r="C201" s="182">
        <f t="shared" si="20"/>
        <v>2010.1666602000096</v>
      </c>
      <c r="D201" s="152">
        <v>40210</v>
      </c>
      <c r="E201" s="148">
        <f>23979/28</f>
        <v>856.3928571428571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82">
        <f>93325/28</f>
        <v>3333.035714285714</v>
      </c>
      <c r="K201" s="282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5486.928571428572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446.2857142857143</v>
      </c>
      <c r="AB201" s="148">
        <v>116.92857142857143</v>
      </c>
      <c r="AC201" s="148">
        <f>78007/28</f>
        <v>2785.964285714286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36" s="138" customFormat="1" ht="12.75">
      <c r="C202" s="182">
        <f t="shared" si="20"/>
        <v>2010.2499935000096</v>
      </c>
      <c r="D202" s="152">
        <v>40238</v>
      </c>
      <c r="E202" s="148">
        <v>865.7741935483871</v>
      </c>
      <c r="F202" s="148">
        <v>414.258064516129</v>
      </c>
      <c r="G202" s="148">
        <f>83981/31</f>
        <v>2709.064516129032</v>
      </c>
      <c r="H202" s="148">
        <v>990.8064516129032</v>
      </c>
      <c r="I202" s="148">
        <v>184.5483870967742</v>
      </c>
      <c r="J202" s="282">
        <f>109834/31</f>
        <v>3543.032258064516</v>
      </c>
      <c r="K202" s="282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</v>
      </c>
      <c r="Y202" s="148">
        <f>1042409/31</f>
        <v>33626.096774193546</v>
      </c>
      <c r="Z202" s="148"/>
      <c r="AA202" s="148">
        <v>330.741935483871</v>
      </c>
      <c r="AB202" s="148">
        <v>121.80645161290323</v>
      </c>
      <c r="AC202" s="148">
        <f>84166/31</f>
        <v>2715.032258064516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36" s="138" customFormat="1" ht="12.75">
      <c r="C203" s="182">
        <f t="shared" si="20"/>
        <v>2010.3333268000097</v>
      </c>
      <c r="D203" s="152">
        <v>40269</v>
      </c>
      <c r="E203" s="148">
        <f>25672/30</f>
        <v>855.7333333333333</v>
      </c>
      <c r="F203" s="148">
        <v>600.9666666666667</v>
      </c>
      <c r="G203" s="148">
        <f>78911/30</f>
        <v>2630.366666666667</v>
      </c>
      <c r="H203" s="148">
        <v>978.5</v>
      </c>
      <c r="I203" s="148">
        <v>171.1</v>
      </c>
      <c r="J203" s="282">
        <f>110030/30</f>
        <v>3667.6666666666665</v>
      </c>
      <c r="K203" s="282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67.1</v>
      </c>
      <c r="S203" s="148">
        <f>(362506+38480)/30</f>
        <v>13366.2</v>
      </c>
      <c r="T203" s="148">
        <f>165199/30</f>
        <v>5506.633333333333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156001.3</v>
      </c>
      <c r="AJ203" s="254">
        <f t="shared" si="21"/>
        <v>157159</v>
      </c>
    </row>
    <row r="204" spans="3:36" ht="12.75">
      <c r="C204" s="182">
        <f t="shared" si="20"/>
        <v>2010.4166601000097</v>
      </c>
      <c r="D204" s="152">
        <v>40299</v>
      </c>
      <c r="E204" s="148">
        <v>845.1612903225806</v>
      </c>
      <c r="F204" s="148">
        <v>650.1935483870968</v>
      </c>
      <c r="G204" s="148">
        <f>74966/31</f>
        <v>2418.2580645161293</v>
      </c>
      <c r="H204" s="148">
        <v>973.9354838709677</v>
      </c>
      <c r="I204" s="148">
        <v>195.06451612903226</v>
      </c>
      <c r="J204" s="282">
        <f>97085/31</f>
        <v>3131.7741935483873</v>
      </c>
      <c r="K204" s="282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36" ht="12.7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</v>
      </c>
      <c r="G205" s="148">
        <f>67094/30</f>
        <v>2236.4666666666667</v>
      </c>
      <c r="H205" s="148">
        <v>961.3666666666667</v>
      </c>
      <c r="I205" s="148">
        <v>209.06666666666666</v>
      </c>
      <c r="J205" s="282">
        <f>106530/30</f>
        <v>3551</v>
      </c>
      <c r="K205" s="282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155340.6666666667</v>
      </c>
      <c r="AJ205" s="254">
        <f t="shared" si="21"/>
        <v>157159</v>
      </c>
    </row>
    <row r="206" spans="3:63" ht="12.75">
      <c r="C206" s="182">
        <f aca="true" t="shared" si="22" ref="C206:C269">+C205+0.0833333</f>
        <v>2010.5833267000098</v>
      </c>
      <c r="D206" s="152">
        <v>40360</v>
      </c>
      <c r="E206" s="161">
        <f>33330/31</f>
        <v>1075.1612903225807</v>
      </c>
      <c r="F206" s="161">
        <v>575.7096774193549</v>
      </c>
      <c r="G206" s="161">
        <f>65941/31</f>
        <v>2127.1290322580644</v>
      </c>
      <c r="H206" s="161">
        <v>939.2258064516129</v>
      </c>
      <c r="I206" s="161">
        <v>195.7741935483871</v>
      </c>
      <c r="J206" s="282">
        <f>91473/31</f>
        <v>2950.7419354838707</v>
      </c>
      <c r="K206" s="282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4435.967741935484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ht="12.75">
      <c r="C207" s="182">
        <f t="shared" si="22"/>
        <v>2010.6666600000099</v>
      </c>
      <c r="D207" s="152">
        <v>40391</v>
      </c>
      <c r="E207" s="161">
        <v>972.258064516129</v>
      </c>
      <c r="F207" s="161">
        <f>17801/31</f>
        <v>574.2258064516129</v>
      </c>
      <c r="G207" s="161">
        <f>69904/31</f>
        <v>2254.967741935484</v>
      </c>
      <c r="H207" s="161">
        <f>29581/31</f>
        <v>954.2258064516129</v>
      </c>
      <c r="I207" s="161">
        <f>6124/31</f>
        <v>197.5483870967742</v>
      </c>
      <c r="J207" s="282">
        <f>81817/31</f>
        <v>2639.2580645161293</v>
      </c>
      <c r="K207" s="282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</v>
      </c>
      <c r="X207" s="161">
        <f>1548446/31</f>
        <v>49949.87096774193</v>
      </c>
      <c r="Y207" s="161">
        <f>1026096/31</f>
        <v>33099.87096774193</v>
      </c>
      <c r="Z207" s="161"/>
      <c r="AA207" s="161">
        <f>11781/31</f>
        <v>380.03225806451616</v>
      </c>
      <c r="AB207" s="161">
        <f>2959/31</f>
        <v>95.45161290322581</v>
      </c>
      <c r="AC207" s="161">
        <f>80415/31</f>
        <v>2594.032258064516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ht="12.75">
      <c r="C208" s="182">
        <f t="shared" si="22"/>
        <v>2010.74999330001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</v>
      </c>
      <c r="I208" s="161">
        <v>178.63333333333333</v>
      </c>
      <c r="J208" s="282">
        <f>80223/30</f>
        <v>2674.1</v>
      </c>
      <c r="K208" s="282"/>
      <c r="L208" s="161">
        <v>245.9</v>
      </c>
      <c r="M208" s="161">
        <f>396069/30</f>
        <v>13202.3</v>
      </c>
      <c r="N208" s="161"/>
      <c r="O208" s="161">
        <f>117277/30</f>
        <v>3909.233333333333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33191.2</v>
      </c>
      <c r="Z208" s="161"/>
      <c r="AA208" s="161">
        <v>289.3</v>
      </c>
      <c r="AB208" s="161">
        <v>96.13333333333334</v>
      </c>
      <c r="AC208" s="161">
        <f>63936/30</f>
        <v>2131.2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ht="12.7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282">
        <f>87966/31</f>
        <v>2837.6129032258063</v>
      </c>
      <c r="K209" s="282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52.32258064516129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</v>
      </c>
      <c r="X209" s="161">
        <f>1503939/31</f>
        <v>48514.16129032258</v>
      </c>
      <c r="Y209" s="161">
        <f>1045986/31</f>
        <v>33741.48387096774</v>
      </c>
      <c r="Z209" s="161"/>
      <c r="AA209" s="161">
        <v>318.4193548387097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39" ht="12.7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581.7666666666667</v>
      </c>
      <c r="G210" s="161">
        <f>106206/30</f>
        <v>3540.2</v>
      </c>
      <c r="H210" s="161">
        <v>953.1</v>
      </c>
      <c r="I210" s="161">
        <v>182.66666666666666</v>
      </c>
      <c r="J210" s="282">
        <f>87026/30</f>
        <v>2900.866666666667</v>
      </c>
      <c r="K210" s="282"/>
      <c r="L210" s="161">
        <v>233.2</v>
      </c>
      <c r="M210" s="161">
        <f>394580/30</f>
        <v>13152.666666666666</v>
      </c>
      <c r="N210" s="161"/>
      <c r="O210" s="161">
        <f>95464/30</f>
        <v>3182.133333333333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40" ht="12.75">
      <c r="C211" s="182">
        <f t="shared" si="22"/>
        <v>2010.99999320001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282">
        <v>2743</v>
      </c>
      <c r="K211" s="282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36" ht="12.75">
      <c r="C212" s="182">
        <f t="shared" si="22"/>
        <v>2011.0833265000101</v>
      </c>
      <c r="D212" s="152">
        <v>40544</v>
      </c>
      <c r="E212" s="148">
        <f>36331/31</f>
        <v>1171.967741935484</v>
      </c>
      <c r="F212" s="148">
        <v>615.8387096774194</v>
      </c>
      <c r="G212" s="148">
        <f>122118/31</f>
        <v>3939.2903225806454</v>
      </c>
      <c r="H212" s="148">
        <v>930.1935483870968</v>
      </c>
      <c r="I212" s="148">
        <v>169.03225806451613</v>
      </c>
      <c r="J212" s="282">
        <f>84980/31</f>
        <v>2741.2903225806454</v>
      </c>
      <c r="K212" s="282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</v>
      </c>
      <c r="P212" s="148"/>
      <c r="Q212" s="148">
        <v>167.6451612903226</v>
      </c>
      <c r="R212" s="148">
        <v>41.32258064516129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</v>
      </c>
      <c r="Y212" s="148">
        <f>1047653/31</f>
        <v>33795.25806451613</v>
      </c>
      <c r="Z212" s="148"/>
      <c r="AA212" s="148">
        <v>403.1290322580645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aca="true" t="shared" si="23" ref="AI212:AI236">SUM(E212:AH212)</f>
        <v>156234.2258064516</v>
      </c>
      <c r="AJ212" s="254">
        <v>152716</v>
      </c>
    </row>
    <row r="213" spans="3:36" ht="12.75">
      <c r="C213" s="182">
        <f t="shared" si="22"/>
        <v>2011.1666598000102</v>
      </c>
      <c r="D213" s="147">
        <v>40575</v>
      </c>
      <c r="E213" s="148">
        <v>1069.89285714286</v>
      </c>
      <c r="F213" s="148">
        <v>578.1785714285714</v>
      </c>
      <c r="G213" s="148">
        <f>113010/28</f>
        <v>4036.0714285714284</v>
      </c>
      <c r="H213" s="148">
        <v>888.9285714285714</v>
      </c>
      <c r="I213" s="148">
        <v>161.71428571428572</v>
      </c>
      <c r="J213" s="282">
        <f>81774/28</f>
        <v>2920.5</v>
      </c>
      <c r="K213" s="282"/>
      <c r="L213" s="148">
        <v>232.64285714285714</v>
      </c>
      <c r="M213" s="148">
        <f>366186/28</f>
        <v>13078.07142857143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48.57142857142857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9198.285714285714</v>
      </c>
      <c r="V213" s="148"/>
      <c r="W213" s="148">
        <f>489468/28</f>
        <v>17481</v>
      </c>
      <c r="X213" s="148">
        <f>1334818/28</f>
        <v>47672.07142857143</v>
      </c>
      <c r="Y213" s="148">
        <f>952119/28</f>
        <v>34004.25</v>
      </c>
      <c r="Z213" s="148"/>
      <c r="AA213" s="148">
        <v>292.2857142857143</v>
      </c>
      <c r="AB213" s="148">
        <v>77.35714285714286</v>
      </c>
      <c r="AC213" s="148">
        <f>69301/28</f>
        <v>2475.035714285714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37" ht="12.7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552.6774193548387</v>
      </c>
      <c r="G214" s="148">
        <f>117238/31</f>
        <v>3781.8709677419356</v>
      </c>
      <c r="H214" s="148">
        <v>888.3548387096774</v>
      </c>
      <c r="I214" s="148">
        <v>148.29032258064515</v>
      </c>
      <c r="J214" s="282">
        <f>87762/31</f>
        <v>2831.032258064516</v>
      </c>
      <c r="K214" s="282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</v>
      </c>
      <c r="U214" s="148">
        <f>382600/31</f>
        <v>12341.935483870968</v>
      </c>
      <c r="V214" s="148"/>
      <c r="W214" s="148">
        <f>559315/31</f>
        <v>18042.41935483871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aca="true" t="shared" si="24" ref="AK214:AK220">+AI214-AI213</f>
        <v>2466.1440092166304</v>
      </c>
    </row>
    <row r="215" spans="3:37" ht="12.7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82">
        <f>82573/30</f>
        <v>2752.4333333333334</v>
      </c>
      <c r="K215" s="282"/>
      <c r="L215" s="148">
        <v>231.2</v>
      </c>
      <c r="M215" s="148">
        <f>392733/30</f>
        <v>13091.1</v>
      </c>
      <c r="N215" s="148"/>
      <c r="O215" s="148">
        <f>106852/30</f>
        <v>3561.733333333333</v>
      </c>
      <c r="P215" s="148"/>
      <c r="Q215" s="148">
        <v>74.9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48270.96666666667</v>
      </c>
      <c r="Y215" s="148">
        <f>983586/30</f>
        <v>32786.2</v>
      </c>
      <c r="Z215" s="148"/>
      <c r="AA215" s="148">
        <v>192.36666666666667</v>
      </c>
      <c r="AB215" s="148">
        <v>46.13333333333333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aca="true" t="shared" si="25" ref="AJ215:AJ223">+AJ214</f>
        <v>152716</v>
      </c>
      <c r="AK215" s="138">
        <f t="shared" si="24"/>
        <v>-4833.489247311838</v>
      </c>
    </row>
    <row r="216" spans="3:37" ht="12.7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82">
        <v>2798</v>
      </c>
      <c r="K216" s="282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9918.225806451614</v>
      </c>
      <c r="V216" s="148"/>
      <c r="W216" s="148">
        <f>560032/31</f>
        <v>18065.548387096773</v>
      </c>
      <c r="X216" s="148">
        <f>1462725/31</f>
        <v>47184.67741935484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39" ht="12.7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82">
        <f>88734/30</f>
        <v>2957.8</v>
      </c>
      <c r="K217" s="282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5266.066666666667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</v>
      </c>
      <c r="AM217" s="135">
        <f>+AI217*30</f>
        <v>4640186.999999999</v>
      </c>
    </row>
    <row r="218" spans="3:39" ht="12.7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</v>
      </c>
      <c r="G218" s="148">
        <f>108346/31</f>
        <v>3495.032258064516</v>
      </c>
      <c r="H218" s="148">
        <v>815.8709677419355</v>
      </c>
      <c r="I218" s="148">
        <v>153.3548387096774</v>
      </c>
      <c r="J218" s="282">
        <f>94911/31</f>
        <v>3061.6451612903224</v>
      </c>
      <c r="K218" s="282"/>
      <c r="L218" s="148">
        <v>223.1290322580645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53.03225806451613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</v>
      </c>
      <c r="Y218" s="148">
        <f>1054037/31</f>
        <v>34001.1935483871</v>
      </c>
      <c r="Z218" s="148"/>
      <c r="AA218" s="148">
        <v>268.7096774193548</v>
      </c>
      <c r="AB218" s="148">
        <v>76.7741935483871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4731907.000000001</v>
      </c>
    </row>
    <row r="219" spans="3:39" ht="12.75">
      <c r="C219" s="182">
        <f t="shared" si="22"/>
        <v>2011.6666596000105</v>
      </c>
      <c r="D219" s="147">
        <v>40756</v>
      </c>
      <c r="E219" s="148">
        <v>964.935483870968</v>
      </c>
      <c r="F219" s="148">
        <f>14685/31</f>
        <v>473.7096774193548</v>
      </c>
      <c r="G219" s="148">
        <f>98096/31</f>
        <v>3164.3870967741937</v>
      </c>
      <c r="H219" s="148">
        <f>26001/31</f>
        <v>838.741935483871</v>
      </c>
      <c r="I219" s="148">
        <v>124.35483870967742</v>
      </c>
      <c r="J219" s="282">
        <f>97382/31</f>
        <v>3141.3548387096776</v>
      </c>
      <c r="K219" s="282"/>
      <c r="L219" s="148">
        <v>221.06451612903226</v>
      </c>
      <c r="M219" s="148">
        <f>421045/31</f>
        <v>13582.09677419355</v>
      </c>
      <c r="N219" s="148"/>
      <c r="O219" s="148">
        <f>140627/31</f>
        <v>4536.354838709677</v>
      </c>
      <c r="P219" s="148"/>
      <c r="Q219" s="148">
        <v>55.3548387096774</v>
      </c>
      <c r="R219" s="148">
        <v>45.32258064516129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7082.870967741936</v>
      </c>
      <c r="V219" s="148"/>
      <c r="W219" s="148">
        <f>527277/31</f>
        <v>17008.935483870966</v>
      </c>
      <c r="X219" s="148">
        <f>1401241/31</f>
        <v>45201.32258064516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4646437.000000001</v>
      </c>
    </row>
    <row r="220" spans="3:39" ht="12.7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815.3666666666667</v>
      </c>
      <c r="I220" s="148">
        <v>159.9</v>
      </c>
      <c r="J220" s="282">
        <f>97457/30</f>
        <v>3248.5666666666666</v>
      </c>
      <c r="K220" s="282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</v>
      </c>
      <c r="S220" s="148">
        <f>+(342049+31259)/30</f>
        <v>12443.6</v>
      </c>
      <c r="T220" s="148">
        <f>107469/30</f>
        <v>3582.3</v>
      </c>
      <c r="U220" s="148">
        <f>279907/30</f>
        <v>9330.233333333334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</v>
      </c>
      <c r="Z220" s="148"/>
      <c r="AA220" s="148">
        <v>340.56666666666666</v>
      </c>
      <c r="AB220" s="148">
        <v>70.83333333333333</v>
      </c>
      <c r="AC220" s="148">
        <f>77901/30</f>
        <v>2596.7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4547194.000000001</v>
      </c>
    </row>
    <row r="221" spans="3:39" ht="12.75">
      <c r="C221" s="182">
        <f t="shared" si="22"/>
        <v>2011.8333262000106</v>
      </c>
      <c r="D221" s="147">
        <v>40817</v>
      </c>
      <c r="E221" s="148">
        <v>977.483870967742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82">
        <f>99680/31</f>
        <v>3215.483870967742</v>
      </c>
      <c r="K221" s="282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3833.935483870968</v>
      </c>
      <c r="P221" s="148"/>
      <c r="Q221" s="148">
        <v>117.35483870967742</v>
      </c>
      <c r="R221" s="148">
        <v>40.3225806451613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</v>
      </c>
      <c r="X221" s="148">
        <f>1196603/31</f>
        <v>38600.096774193546</v>
      </c>
      <c r="Y221" s="148">
        <f>1154547/31</f>
        <v>37243.45161290323</v>
      </c>
      <c r="Z221" s="148"/>
      <c r="AA221" s="148">
        <v>414.96774193548384</v>
      </c>
      <c r="AB221" s="148">
        <v>102.2258064516129</v>
      </c>
      <c r="AC221" s="148">
        <f>80632/31</f>
        <v>2601.032258064516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aca="true" t="shared" si="26" ref="AK221:AK228">+AI221-AI220</f>
        <v>-892.3913978495111</v>
      </c>
      <c r="AM221" s="135">
        <f>+AI221*31</f>
        <v>4671102.999999999</v>
      </c>
    </row>
    <row r="222" spans="3:39" ht="12.7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</v>
      </c>
      <c r="H222" s="148">
        <v>817.6</v>
      </c>
      <c r="I222" s="148">
        <v>153.2</v>
      </c>
      <c r="J222" s="282">
        <f>104127/30</f>
        <v>3470.9</v>
      </c>
      <c r="K222" s="282"/>
      <c r="L222" s="148">
        <v>229.66666666666666</v>
      </c>
      <c r="M222" s="148">
        <f>412962/30</f>
        <v>13765.4</v>
      </c>
      <c r="N222" s="148"/>
      <c r="O222" s="148">
        <f>119618/30</f>
        <v>3987.266666666667</v>
      </c>
      <c r="P222" s="148"/>
      <c r="Q222" s="148">
        <v>223.23333333333332</v>
      </c>
      <c r="R222" s="148">
        <v>39.53333333333333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9256.333333333334</v>
      </c>
      <c r="V222" s="148"/>
      <c r="W222" s="148">
        <f>520533/30</f>
        <v>17351.1</v>
      </c>
      <c r="X222" s="148">
        <f>1110109/30</f>
        <v>37003.63333333333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4599210.633333333</v>
      </c>
    </row>
    <row r="223" spans="3:39" ht="13.5" thickBot="1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469.8709677419355</v>
      </c>
      <c r="G223" s="162">
        <v>3234.2258064516127</v>
      </c>
      <c r="H223" s="162">
        <v>830.516129032258</v>
      </c>
      <c r="I223" s="162">
        <v>162.83870967741936</v>
      </c>
      <c r="J223" s="283">
        <v>3436</v>
      </c>
      <c r="K223" s="283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9883.548387096775</v>
      </c>
      <c r="V223" s="162"/>
      <c r="W223" s="162">
        <v>16629.1935483871</v>
      </c>
      <c r="X223" s="162">
        <v>36491.41935483871</v>
      </c>
      <c r="Y223" s="162">
        <v>39760.87096774193</v>
      </c>
      <c r="Z223" s="162"/>
      <c r="AA223" s="162">
        <v>443.93548387096774</v>
      </c>
      <c r="AB223" s="162">
        <v>113.87096774193549</v>
      </c>
      <c r="AC223" s="162">
        <v>2495.032258064516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39" ht="12.75">
      <c r="C224" s="182">
        <f t="shared" si="22"/>
        <v>2012.0833261000107</v>
      </c>
      <c r="D224" s="152">
        <v>40909</v>
      </c>
      <c r="E224" s="163">
        <v>1078.032258064516</v>
      </c>
      <c r="F224" s="164">
        <v>471.9032258064516</v>
      </c>
      <c r="G224" s="164">
        <v>2785.7741935483873</v>
      </c>
      <c r="H224" s="164">
        <v>824.258064516129</v>
      </c>
      <c r="I224" s="164">
        <v>157.48387096774192</v>
      </c>
      <c r="J224" s="284">
        <v>3291.64516129032</v>
      </c>
      <c r="K224" s="284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33177.25806451613</v>
      </c>
      <c r="Z224" s="164"/>
      <c r="AA224" s="164">
        <v>370.5483870967742</v>
      </c>
      <c r="AB224" s="164">
        <v>80.87096774193549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39" ht="12.7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</v>
      </c>
      <c r="G225" s="148">
        <f>74028/29</f>
        <v>2552.689655172414</v>
      </c>
      <c r="H225" s="148">
        <f>22874/29</f>
        <v>788.7586206896551</v>
      </c>
      <c r="I225" s="148">
        <f>4470/29</f>
        <v>154.13793103448276</v>
      </c>
      <c r="J225" s="282">
        <f>83102/29</f>
        <v>2865.5862068965516</v>
      </c>
      <c r="K225" s="282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36.48275862068966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37636.31034482759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</v>
      </c>
      <c r="AC225" s="148">
        <f>75725/29</f>
        <v>2611.206896551724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</v>
      </c>
    </row>
    <row r="226" spans="3:39" ht="12.7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82">
        <f>99764/31</f>
        <v>3218.1935483870966</v>
      </c>
      <c r="K226" s="282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</v>
      </c>
      <c r="V226" s="148"/>
      <c r="W226" s="148">
        <f>485382/31</f>
        <v>15657.483870967742</v>
      </c>
      <c r="X226" s="148">
        <f>1252517/31</f>
        <v>40403.77419354839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39" ht="12.7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</v>
      </c>
      <c r="G227" s="148">
        <v>1987.0333333333333</v>
      </c>
      <c r="H227" s="148">
        <v>764.6</v>
      </c>
      <c r="I227" s="148">
        <v>161.76666666666668</v>
      </c>
      <c r="J227" s="282">
        <v>3018.4333333333334</v>
      </c>
      <c r="K227" s="282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aca="true" t="shared" si="27" ref="AJ227:AJ234">+AJ226</f>
        <v>152982</v>
      </c>
      <c r="AK227" s="138">
        <f t="shared" si="26"/>
        <v>-7563.594623655896</v>
      </c>
      <c r="AM227" s="135">
        <f>+AI227*30</f>
        <v>4230197</v>
      </c>
    </row>
    <row r="228" spans="3:39" ht="12.75">
      <c r="C228" s="182">
        <f t="shared" si="22"/>
        <v>2012.416659300011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775.6451612903226</v>
      </c>
      <c r="I228" s="148">
        <v>153.67741935483872</v>
      </c>
      <c r="J228" s="282">
        <v>3254.41935483871</v>
      </c>
      <c r="K228" s="282"/>
      <c r="L228" s="148">
        <v>223.70967741935485</v>
      </c>
      <c r="M228" s="148">
        <v>14070.258064516129</v>
      </c>
      <c r="N228" s="148"/>
      <c r="O228" s="148">
        <v>3101.967741935484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9782.290322580646</v>
      </c>
      <c r="V228" s="148"/>
      <c r="W228" s="148">
        <v>14905.806451612903</v>
      </c>
      <c r="X228" s="148">
        <v>41191.51612903226</v>
      </c>
      <c r="Y228" s="148">
        <v>36730.48387096774</v>
      </c>
      <c r="Z228" s="148"/>
      <c r="AA228" s="148">
        <v>309.8709677419355</v>
      </c>
      <c r="AB228" s="148">
        <v>86.80645161290323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6058.078494623682</v>
      </c>
      <c r="AM228" s="135">
        <f>+AI228*31</f>
        <v>4559004.000000001</v>
      </c>
    </row>
    <row r="229" spans="3:39" ht="12.7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82">
        <v>3280.2</v>
      </c>
      <c r="K229" s="282"/>
      <c r="L229" s="148">
        <v>221.6</v>
      </c>
      <c r="M229" s="148">
        <v>13878.733333333334</v>
      </c>
      <c r="N229" s="148"/>
      <c r="O229" s="148">
        <v>3568.266666666667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3472.266666666667</v>
      </c>
      <c r="U229" s="148">
        <v>8554.7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</v>
      </c>
      <c r="AM229" s="135">
        <f>+AI229*30</f>
        <v>4440835</v>
      </c>
    </row>
    <row r="230" spans="3:39" ht="12.7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2352.935483870968</v>
      </c>
      <c r="H230" s="148">
        <v>755.8064516129032</v>
      </c>
      <c r="I230" s="148">
        <v>140.29032258064515</v>
      </c>
      <c r="J230" s="282">
        <v>3272.1612903225805</v>
      </c>
      <c r="K230" s="282"/>
      <c r="L230" s="134">
        <v>218.6451612903226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aca="true" t="shared" si="28" ref="AK230:AK261">+AI230-AI229</f>
        <v>2088.005376344081</v>
      </c>
      <c r="AM230" s="135">
        <f>+AI230*31</f>
        <v>4653591</v>
      </c>
    </row>
    <row r="231" spans="3:39" ht="12.75">
      <c r="C231" s="182">
        <f t="shared" si="22"/>
        <v>2012.666659200011</v>
      </c>
      <c r="D231" s="152">
        <v>41122</v>
      </c>
      <c r="E231" s="165">
        <v>1211.967741935484</v>
      </c>
      <c r="F231" s="148">
        <v>420.5483870967742</v>
      </c>
      <c r="G231" s="148">
        <v>2265.451612903226</v>
      </c>
      <c r="H231" s="148">
        <v>768.9677419354839</v>
      </c>
      <c r="I231" s="148">
        <v>146.32258064516128</v>
      </c>
      <c r="J231" s="282">
        <v>3518.03225806452</v>
      </c>
      <c r="K231" s="282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34.03225806451613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46971.77419354839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4834765.000000001</v>
      </c>
    </row>
    <row r="232" spans="3:39" ht="12.75">
      <c r="C232" s="182">
        <f t="shared" si="22"/>
        <v>2012.749992500011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82">
        <v>3496</v>
      </c>
      <c r="K232" s="282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39" ht="12.75">
      <c r="C233" s="182">
        <f t="shared" si="22"/>
        <v>2012.8333258000112</v>
      </c>
      <c r="D233" s="152">
        <v>41183</v>
      </c>
      <c r="E233" s="165">
        <f>42849/31</f>
        <v>1382.225806451613</v>
      </c>
      <c r="F233" s="148">
        <v>431.35483870967744</v>
      </c>
      <c r="G233" s="148">
        <f>61849/31</f>
        <v>1995.1290322580646</v>
      </c>
      <c r="H233" s="148">
        <v>760.5483870967741</v>
      </c>
      <c r="I233" s="148">
        <v>138.38709677419354</v>
      </c>
      <c r="J233" s="282">
        <f>113288/31</f>
        <v>3654.451612903226</v>
      </c>
      <c r="K233" s="282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</v>
      </c>
      <c r="V233" s="148"/>
      <c r="W233" s="148">
        <f>471970/31</f>
        <v>15224.838709677419</v>
      </c>
      <c r="X233" s="148">
        <f>1938478/31</f>
        <v>62531.54838709677</v>
      </c>
      <c r="Y233" s="148">
        <f>1121258/31</f>
        <v>36169.6129032258</v>
      </c>
      <c r="Z233" s="148"/>
      <c r="AA233" s="148">
        <v>325.4193548387097</v>
      </c>
      <c r="AB233" s="148">
        <v>96.3225806451613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</v>
      </c>
      <c r="AM233" s="135">
        <f>+AI233*31</f>
        <v>5201316</v>
      </c>
    </row>
    <row r="234" spans="3:39" ht="12.7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82">
        <v>3587</v>
      </c>
      <c r="K234" s="282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37" ht="12.7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750.8064516129032</v>
      </c>
      <c r="I235" s="162">
        <v>147.25806451612902</v>
      </c>
      <c r="J235" s="283">
        <v>3640.741935</v>
      </c>
      <c r="K235" s="283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92.48387096774194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</v>
      </c>
      <c r="V235" s="162"/>
      <c r="W235" s="162">
        <v>15099.451612903225</v>
      </c>
      <c r="X235" s="162">
        <v>60833.16129032258</v>
      </c>
      <c r="Y235" s="162">
        <v>35531.87096774193</v>
      </c>
      <c r="Z235" s="162"/>
      <c r="AA235" s="162">
        <v>302.1290322580645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-304.967742419336</v>
      </c>
    </row>
    <row r="236" spans="3:37" ht="12.7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426.9032258064516</v>
      </c>
      <c r="G236" s="148">
        <f>62545/31</f>
        <v>2017.5806451612902</v>
      </c>
      <c r="H236" s="148">
        <f>22887/31</f>
        <v>738.2903225806451</v>
      </c>
      <c r="I236" s="148">
        <f>4345/31</f>
        <v>140.16129032258064</v>
      </c>
      <c r="J236" s="283">
        <f>104345/31</f>
        <v>3365.967741935484</v>
      </c>
      <c r="K236" s="283"/>
      <c r="L236" s="148">
        <f>6485/31</f>
        <v>209.19354838709677</v>
      </c>
      <c r="M236" s="148">
        <f>433594/31</f>
        <v>13986.90322580645</v>
      </c>
      <c r="N236" s="148"/>
      <c r="O236" s="148">
        <f>107456/31</f>
        <v>3466.3225806451615</v>
      </c>
      <c r="P236" s="148"/>
      <c r="Q236" s="148">
        <f>2783/31</f>
        <v>89.7741935483871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</v>
      </c>
      <c r="V236" s="148"/>
      <c r="W236" s="148">
        <f>483854/31</f>
        <v>15608.193548387097</v>
      </c>
      <c r="X236" s="148">
        <f>1900876/31</f>
        <v>61318.58064516129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747.0000004838512</v>
      </c>
    </row>
    <row r="237" spans="3:44" ht="12.7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732.1071428571429</v>
      </c>
      <c r="I237" s="148">
        <f>3814/28</f>
        <v>136.21428571428572</v>
      </c>
      <c r="J237" s="283">
        <f>98920/28</f>
        <v>3532.8571428571427</v>
      </c>
      <c r="K237" s="283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</v>
      </c>
      <c r="P237" s="148"/>
      <c r="Q237" s="148">
        <f>2763/28</f>
        <v>98.67857142857143</v>
      </c>
      <c r="R237" s="148">
        <f>1037/28</f>
        <v>37.035714285714285</v>
      </c>
      <c r="S237" s="148">
        <f>+(261076+36846)/28</f>
        <v>10640.07142857143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</v>
      </c>
      <c r="Y237" s="148">
        <f>1070133/28</f>
        <v>38219.03571428572</v>
      </c>
      <c r="Z237" s="148"/>
      <c r="AA237" s="148">
        <f>7398/28</f>
        <v>264.2142857142857</v>
      </c>
      <c r="AB237" s="148">
        <f>1816/28</f>
        <v>64.85714285714286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473.5357142857143</v>
      </c>
      <c r="AH237" s="148"/>
      <c r="AI237" s="148">
        <f>SUM(E237:AH237)</f>
        <v>173613.5</v>
      </c>
      <c r="AJ237" s="252">
        <f aca="true" t="shared" si="29" ref="AJ237:AJ247">+AJ236</f>
        <v>167515</v>
      </c>
      <c r="AK237" s="148">
        <f t="shared" si="28"/>
        <v>8418.467741935485</v>
      </c>
      <c r="AL237" s="148"/>
      <c r="AM237" s="148"/>
      <c r="AN237" s="148"/>
      <c r="AO237" s="148"/>
      <c r="AP237" s="148"/>
      <c r="AQ237" s="148"/>
      <c r="AR237" s="148"/>
    </row>
    <row r="238" spans="3:37" ht="12.7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416.9032258064516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83">
        <f>93904/31</f>
        <v>3029.1612903225805</v>
      </c>
      <c r="K238" s="283"/>
      <c r="L238" s="148">
        <f>6524/31</f>
        <v>210.4516129032258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</v>
      </c>
      <c r="R238" s="148">
        <v>32.67741935483871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</v>
      </c>
      <c r="V238" s="148"/>
      <c r="W238" s="148">
        <f>486749/31</f>
        <v>15701.58064516129</v>
      </c>
      <c r="X238" s="148">
        <f>1938237/31</f>
        <v>62523.77419354839</v>
      </c>
      <c r="Y238" s="161">
        <f>1277480/31</f>
        <v>41209.032258064515</v>
      </c>
      <c r="Z238" s="161"/>
      <c r="AA238" s="161">
        <v>383.4193548387097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</v>
      </c>
      <c r="AH238" s="161"/>
      <c r="AI238" s="148">
        <f aca="true" t="shared" si="30" ref="AI238:AI252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37" ht="12.7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716.4333333333333</v>
      </c>
      <c r="I239" s="155">
        <f>3585/30</f>
        <v>119.5</v>
      </c>
      <c r="J239" s="278">
        <f>95861/30</f>
        <v>3195.366666666667</v>
      </c>
      <c r="K239" s="279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</v>
      </c>
      <c r="P239" s="155"/>
      <c r="Q239" s="155">
        <f>2672/30</f>
        <v>89.06666666666666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37" ht="13.5" customHeight="1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</v>
      </c>
      <c r="I240" s="157">
        <f>3925/31</f>
        <v>126.61290322580645</v>
      </c>
      <c r="J240" s="278">
        <f>109894/31</f>
        <v>3544.967741935484</v>
      </c>
      <c r="K240" s="279"/>
      <c r="L240" s="155">
        <f>6351/31</f>
        <v>204.8709677419355</v>
      </c>
      <c r="M240" s="156">
        <f>388960/31</f>
        <v>12547.09677419355</v>
      </c>
      <c r="N240" s="156"/>
      <c r="O240" s="156">
        <f>136474/31</f>
        <v>4402.387096774193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</v>
      </c>
      <c r="U240" s="168">
        <f>327381/31</f>
        <v>10560.677419354839</v>
      </c>
      <c r="V240" s="168"/>
      <c r="W240" s="168">
        <f>454705/31</f>
        <v>14667.90322580645</v>
      </c>
      <c r="X240" s="168">
        <f>1987288/31</f>
        <v>64106.06451612903</v>
      </c>
      <c r="Y240" s="168">
        <f>1210405/31</f>
        <v>39045.32258064516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164.4516129032258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7" ht="12.7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</v>
      </c>
      <c r="I241" s="156">
        <f>3841/30</f>
        <v>128.03333333333333</v>
      </c>
      <c r="J241" s="278">
        <f>92416/30</f>
        <v>3080.5333333333333</v>
      </c>
      <c r="K241" s="279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5201.533333333334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9896.033333333333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2523.366666666667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7" ht="12.7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</v>
      </c>
      <c r="I242" s="156">
        <f>4505/31</f>
        <v>145.32258064516128</v>
      </c>
      <c r="J242" s="278">
        <f>112945/31</f>
        <v>3643.3870967741937</v>
      </c>
      <c r="K242" s="279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88.2258064516129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9517.516129032258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263.4193548387097</v>
      </c>
      <c r="AB242" s="168">
        <v>92.12903225806451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</v>
      </c>
    </row>
    <row r="243" spans="3:37" ht="12.7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437.741935483871</v>
      </c>
      <c r="G243" s="156">
        <f>61100/31</f>
        <v>1970.967741935484</v>
      </c>
      <c r="H243" s="156">
        <f>28127/31</f>
        <v>907.3225806451613</v>
      </c>
      <c r="I243" s="156">
        <f>4088/31</f>
        <v>131.8709677419355</v>
      </c>
      <c r="J243" s="278">
        <f>115529/31</f>
        <v>3726.7419354838707</v>
      </c>
      <c r="K243" s="279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</v>
      </c>
      <c r="V243" s="168"/>
      <c r="W243" s="168">
        <f>471975/31</f>
        <v>15225</v>
      </c>
      <c r="X243" s="168">
        <f>2082905/31</f>
        <v>67190.48387096774</v>
      </c>
      <c r="Y243" s="168">
        <f>1181110/31</f>
        <v>38100.32258064516</v>
      </c>
      <c r="Z243" s="168"/>
      <c r="AA243" s="168">
        <v>373.0967741935484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ht="12.7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278">
        <f>111777/30</f>
        <v>3725.9</v>
      </c>
      <c r="K244" s="279"/>
      <c r="L244" s="156">
        <v>206.2</v>
      </c>
      <c r="M244" s="156">
        <f>289230/30</f>
        <v>9641</v>
      </c>
      <c r="N244" s="156"/>
      <c r="O244" s="156">
        <f>181478/30</f>
        <v>6049.266666666666</v>
      </c>
      <c r="P244" s="156"/>
      <c r="Q244" s="156">
        <v>88.46666666666667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8753.8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2214.366666666667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-5795.759139784874</v>
      </c>
      <c r="AM244" s="135">
        <f>2213*30</f>
        <v>66390</v>
      </c>
    </row>
    <row r="245" spans="3:39" ht="12.7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</v>
      </c>
      <c r="G245" s="156">
        <f>52513/31</f>
        <v>1693.967741935484</v>
      </c>
      <c r="H245" s="156">
        <f>21460/31</f>
        <v>692.258064516129</v>
      </c>
      <c r="I245" s="156">
        <f>4285/31</f>
        <v>138.2258064516129</v>
      </c>
      <c r="J245" s="278">
        <f>110419/31</f>
        <v>3561.9032258064517</v>
      </c>
      <c r="K245" s="279"/>
      <c r="L245" s="156">
        <f>6326/31</f>
        <v>204.06451612903226</v>
      </c>
      <c r="M245" s="156">
        <f>293206/31</f>
        <v>9458.258064516129</v>
      </c>
      <c r="N245" s="156"/>
      <c r="O245" s="156">
        <f>158448/31</f>
        <v>5111.225806451613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</v>
      </c>
      <c r="U245" s="168">
        <f>309727/31</f>
        <v>9991.193548387097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285.9032258064516</v>
      </c>
      <c r="AB245" s="168">
        <v>97.61290322580645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7" ht="12.7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278">
        <f>105792/30</f>
        <v>3526.4</v>
      </c>
      <c r="K246" s="279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</v>
      </c>
      <c r="U246" s="161">
        <f>296319/30</f>
        <v>9877.3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36941.46666666667</v>
      </c>
      <c r="Z246" s="161"/>
      <c r="AA246" s="161">
        <v>209.96666666666667</v>
      </c>
      <c r="AB246" s="161">
        <v>90.83333333333333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7" ht="12.7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</v>
      </c>
      <c r="G247" s="156">
        <f>65913/31</f>
        <v>2126.2258064516127</v>
      </c>
      <c r="H247" s="156">
        <f>20252/31</f>
        <v>653.2903225806451</v>
      </c>
      <c r="I247" s="156">
        <f>4072/31</f>
        <v>131.3548387096774</v>
      </c>
      <c r="J247" s="278">
        <f>110534/31</f>
        <v>3565.6129032258063</v>
      </c>
      <c r="K247" s="279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7099.258064516129</v>
      </c>
      <c r="P247" s="155"/>
      <c r="Q247" s="156">
        <f>2547/31</f>
        <v>82.16129032258064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37645.83870967742</v>
      </c>
      <c r="Z247" s="161"/>
      <c r="AA247" s="161">
        <v>400.96774193548384</v>
      </c>
      <c r="AB247" s="161">
        <v>125.64516129032258</v>
      </c>
      <c r="AC247" s="161">
        <f>72325/31</f>
        <v>2333.064516129032</v>
      </c>
      <c r="AD247" s="161">
        <v>463.3225806451613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7" ht="12.75">
      <c r="C248" s="182">
        <f t="shared" si="22"/>
        <v>2014.083325300012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</v>
      </c>
      <c r="I248" s="172">
        <f>4005/31</f>
        <v>129.19354838709677</v>
      </c>
      <c r="J248" s="280">
        <f>110291/31</f>
        <v>3557.7741935483873</v>
      </c>
      <c r="K248" s="281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</v>
      </c>
      <c r="Y248" s="172">
        <f>1133917/31</f>
        <v>36577.967741935485</v>
      </c>
      <c r="Z248" s="172"/>
      <c r="AA248" s="172">
        <v>226.41935483870967</v>
      </c>
      <c r="AB248" s="172">
        <v>86.93548387096774</v>
      </c>
      <c r="AC248" s="172">
        <f>67456/31</f>
        <v>2176</v>
      </c>
      <c r="AD248" s="172">
        <f>42864/31</f>
        <v>1382.7096774193549</v>
      </c>
      <c r="AE248" s="172">
        <v>70.35483870967742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7" ht="12.75">
      <c r="C249" s="182">
        <f t="shared" si="22"/>
        <v>2014.166658600012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</v>
      </c>
      <c r="I249" s="172">
        <f>3547/28</f>
        <v>126.67857142857143</v>
      </c>
      <c r="J249" s="280">
        <f>101369/28</f>
        <v>3620.3214285714284</v>
      </c>
      <c r="K249" s="281"/>
      <c r="L249" s="172">
        <f>5722/28</f>
        <v>204.35714285714286</v>
      </c>
      <c r="M249" s="172">
        <f>293739/28</f>
        <v>10490.67857142857</v>
      </c>
      <c r="N249" s="172"/>
      <c r="O249" s="172">
        <f>185497/28</f>
        <v>6624.892857142857</v>
      </c>
      <c r="P249" s="172"/>
      <c r="Q249" s="172">
        <f>1952/28</f>
        <v>69.71428571428571</v>
      </c>
      <c r="R249" s="172">
        <f>831/28</f>
        <v>29.678571428571427</v>
      </c>
      <c r="S249" s="173">
        <f>+(270203+36010)/28</f>
        <v>10936.17857142857</v>
      </c>
      <c r="T249" s="173">
        <f>198440/28</f>
        <v>7087.142857142857</v>
      </c>
      <c r="U249" s="173">
        <f>273846/28</f>
        <v>9780.214285714286</v>
      </c>
      <c r="V249" s="173"/>
      <c r="W249" s="173">
        <f>406684/28</f>
        <v>14524.42857142857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</v>
      </c>
      <c r="AB249" s="173">
        <v>78.60714285714286</v>
      </c>
      <c r="AC249" s="173">
        <f>60777/28</f>
        <v>2170.6071428571427</v>
      </c>
      <c r="AD249" s="173">
        <f>94887/28</f>
        <v>3388.8214285714284</v>
      </c>
      <c r="AE249" s="173">
        <v>409.5357142857143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17354.79147465434</v>
      </c>
    </row>
    <row r="250" spans="3:37" ht="12.7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</v>
      </c>
      <c r="I250" s="172">
        <v>129.1290322580645</v>
      </c>
      <c r="J250" s="280">
        <f>112963/31</f>
        <v>3643.967741935484</v>
      </c>
      <c r="K250" s="281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</v>
      </c>
      <c r="P250" s="172"/>
      <c r="Q250" s="172">
        <f>2452/31</f>
        <v>79.09677419354838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62449.1935483871</v>
      </c>
      <c r="Y250" s="173">
        <f>1238318/31</f>
        <v>39945.74193548387</v>
      </c>
      <c r="Z250" s="173">
        <f>37922/31</f>
        <v>1223.2903225806451</v>
      </c>
      <c r="AA250" s="173">
        <v>297.8709677419355</v>
      </c>
      <c r="AB250" s="173">
        <v>79.96774193548387</v>
      </c>
      <c r="AC250" s="173">
        <f>74828/31</f>
        <v>2413.8064516129034</v>
      </c>
      <c r="AD250" s="173">
        <f>142463/31</f>
        <v>4595.580645161291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6865.047235023114</v>
      </c>
    </row>
    <row r="251" spans="3:37" ht="12.7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80">
        <f>108338/30</f>
        <v>3611.266666666667</v>
      </c>
      <c r="K251" s="281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7063.733333333334</v>
      </c>
      <c r="P251" s="172"/>
      <c r="Q251" s="172">
        <f>2127/30</f>
        <v>70.9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3638.366666666667</v>
      </c>
      <c r="U251" s="173">
        <f>297202/30</f>
        <v>9906.733333333334</v>
      </c>
      <c r="V251" s="173"/>
      <c r="W251" s="173">
        <f>336532/30</f>
        <v>11217.733333333334</v>
      </c>
      <c r="X251" s="173">
        <f>1764624/30</f>
        <v>58820.8</v>
      </c>
      <c r="Y251" s="173">
        <f>1247820/30</f>
        <v>41594</v>
      </c>
      <c r="Z251" s="173">
        <f>195137/30</f>
        <v>6504.566666666667</v>
      </c>
      <c r="AA251" s="173">
        <v>329.46666666666664</v>
      </c>
      <c r="AB251" s="173">
        <v>99.4</v>
      </c>
      <c r="AC251" s="173">
        <f>67477/30</f>
        <v>2249.233333333333</v>
      </c>
      <c r="AD251" s="173">
        <f>153991/30</f>
        <v>5133.033333333334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-2993.092473118275</v>
      </c>
    </row>
    <row r="252" spans="3:37" ht="12.75">
      <c r="C252" s="182">
        <f t="shared" si="22"/>
        <v>2014.416658500012</v>
      </c>
      <c r="D252" s="136">
        <v>41760</v>
      </c>
      <c r="E252" s="172">
        <f>43335/31</f>
        <v>1397.9032258064517</v>
      </c>
      <c r="F252" s="172">
        <f>12073/31</f>
        <v>389.4516129032258</v>
      </c>
      <c r="G252" s="172">
        <f>44466/31</f>
        <v>1434.3870967741937</v>
      </c>
      <c r="H252" s="172">
        <f>19050/31</f>
        <v>614.516129032258</v>
      </c>
      <c r="I252" s="172">
        <f>3807/31</f>
        <v>122.80645161290323</v>
      </c>
      <c r="J252" s="280">
        <f>109035/31</f>
        <v>3517.2580645161293</v>
      </c>
      <c r="K252" s="281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67.19354838709677</v>
      </c>
      <c r="R252" s="172">
        <f>725/31</f>
        <v>23.387096774193548</v>
      </c>
      <c r="S252" s="173">
        <f>+(337789+43167)/31</f>
        <v>12288.90322580645</v>
      </c>
      <c r="T252" s="173">
        <f>154337/31</f>
        <v>4978.612903225807</v>
      </c>
      <c r="U252" s="173">
        <f>300212/31</f>
        <v>9684.258064516129</v>
      </c>
      <c r="V252" s="173"/>
      <c r="W252" s="173">
        <f>418425/31</f>
        <v>13497.58064516129</v>
      </c>
      <c r="X252" s="173">
        <f>1770179/31</f>
        <v>57102.54838709677</v>
      </c>
      <c r="Y252" s="173">
        <f>1162245/31</f>
        <v>37491.77419354839</v>
      </c>
      <c r="Z252" s="173">
        <f>181328/31</f>
        <v>5849.290322580645</v>
      </c>
      <c r="AA252" s="173">
        <v>256.2903225806452</v>
      </c>
      <c r="AB252" s="173">
        <v>107.25806451612904</v>
      </c>
      <c r="AC252" s="173">
        <f>72581/31</f>
        <v>2341.3225806451615</v>
      </c>
      <c r="AD252" s="173">
        <f>163900/31</f>
        <v>5287.096774193548</v>
      </c>
      <c r="AE252" s="173"/>
      <c r="AF252" s="173"/>
      <c r="AG252" s="173"/>
      <c r="AH252" s="173"/>
      <c r="AI252" s="148">
        <f t="shared" si="30"/>
        <v>173546.2580645161</v>
      </c>
      <c r="AJ252" s="252">
        <f>+AJ251</f>
        <v>172730.52328767124</v>
      </c>
      <c r="AK252" s="138">
        <f t="shared" si="28"/>
        <v>-4336.875268817268</v>
      </c>
    </row>
    <row r="253" spans="3:37" ht="12.7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80">
        <v>3547</v>
      </c>
      <c r="K253" s="281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aca="true" t="shared" si="31" ref="AI253:AI266">SUM(E253:AH253)</f>
        <v>168850</v>
      </c>
      <c r="AJ253" s="252">
        <f>+AJ252</f>
        <v>172730.52328767124</v>
      </c>
      <c r="AK253" s="138">
        <f t="shared" si="28"/>
        <v>-4696.258064516092</v>
      </c>
    </row>
    <row r="254" spans="3:37" ht="12.7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720.4516129032259</v>
      </c>
      <c r="I254" s="172">
        <v>129.6451612903226</v>
      </c>
      <c r="J254" s="280">
        <v>3668.6129032258063</v>
      </c>
      <c r="K254" s="281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69.45161290322581</v>
      </c>
      <c r="R254" s="172">
        <v>22.322580645161292</v>
      </c>
      <c r="S254" s="173">
        <v>12034.58064516129</v>
      </c>
      <c r="T254" s="173">
        <v>4460.096774193548</v>
      </c>
      <c r="U254" s="173">
        <v>8279.516129032258</v>
      </c>
      <c r="V254" s="173"/>
      <c r="W254" s="173">
        <v>13959.032258064517</v>
      </c>
      <c r="X254" s="173">
        <v>59400.1935483871</v>
      </c>
      <c r="Y254" s="173">
        <v>34352.87096774193</v>
      </c>
      <c r="Z254" s="173">
        <v>8225.741935483871</v>
      </c>
      <c r="AA254" s="173">
        <v>389.2258064516129</v>
      </c>
      <c r="AB254" s="173">
        <v>90.6774193548387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173862.7741935484</v>
      </c>
      <c r="AJ254" s="252">
        <f aca="true" t="shared" si="32" ref="AJ254:AJ259">+AJ253</f>
        <v>172730.52328767124</v>
      </c>
      <c r="AK254" s="138">
        <f t="shared" si="28"/>
        <v>5012.774193548394</v>
      </c>
    </row>
    <row r="255" spans="3:37" ht="12.7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</v>
      </c>
      <c r="G255" s="172">
        <v>1568.1290322580646</v>
      </c>
      <c r="H255" s="172">
        <v>685.0322580645161</v>
      </c>
      <c r="I255" s="172">
        <v>127.03225806451613</v>
      </c>
      <c r="J255" s="280">
        <v>3622.1612903225805</v>
      </c>
      <c r="K255" s="281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66.64516129032258</v>
      </c>
      <c r="R255" s="172">
        <v>21.774193548387096</v>
      </c>
      <c r="S255" s="173">
        <v>11472.870967741936</v>
      </c>
      <c r="T255" s="173">
        <v>4686.935483870968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</v>
      </c>
      <c r="AD255" s="173">
        <v>6099.225806451613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7" ht="12.7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80">
        <v>3566</v>
      </c>
      <c r="K256" s="281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</v>
      </c>
    </row>
    <row r="257" spans="3:37" ht="12.7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80">
        <v>3564</v>
      </c>
      <c r="K257" s="281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ht="12.7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684.8333333333334</v>
      </c>
      <c r="I258" s="172">
        <v>136.16666666666666</v>
      </c>
      <c r="J258" s="280">
        <v>3483.9666666666667</v>
      </c>
      <c r="K258" s="281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</v>
      </c>
      <c r="U258" s="173">
        <v>9420.4</v>
      </c>
      <c r="V258" s="173"/>
      <c r="W258" s="173">
        <v>10942.966666666667</v>
      </c>
      <c r="X258" s="173">
        <v>56420.03333333333</v>
      </c>
      <c r="Y258" s="173">
        <v>41538.2</v>
      </c>
      <c r="Z258" s="173">
        <v>6628.066666666667</v>
      </c>
      <c r="AA258" s="173">
        <v>381.6</v>
      </c>
      <c r="AB258" s="173">
        <v>39.266666666666666</v>
      </c>
      <c r="AC258" s="173">
        <v>1941.4</v>
      </c>
      <c r="AD258" s="173">
        <v>6399.966666666666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</v>
      </c>
      <c r="G259" s="175">
        <v>1558.6451612903227</v>
      </c>
      <c r="H259" s="175">
        <v>672.6774193548387</v>
      </c>
      <c r="I259" s="175">
        <v>142.96774193548387</v>
      </c>
      <c r="J259" s="290">
        <v>3553.451612903226</v>
      </c>
      <c r="K259" s="291"/>
      <c r="L259" s="175">
        <v>192.48387096774192</v>
      </c>
      <c r="M259" s="175">
        <v>10229.516129032258</v>
      </c>
      <c r="N259" s="175"/>
      <c r="O259" s="175">
        <v>5328.354838709677</v>
      </c>
      <c r="P259" s="175"/>
      <c r="Q259" s="175">
        <v>58.16129032258065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</v>
      </c>
      <c r="Y259" s="176">
        <v>41640.709677419356</v>
      </c>
      <c r="Z259" s="176">
        <v>6473.741935483871</v>
      </c>
      <c r="AA259" s="176">
        <v>327.8709677419355</v>
      </c>
      <c r="AB259" s="176">
        <v>103.87096774193549</v>
      </c>
      <c r="AC259" s="176">
        <v>1512.2903225806451</v>
      </c>
      <c r="AD259" s="176">
        <v>5657.548387096775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ht="12.7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1485.967741935484</v>
      </c>
      <c r="H260" s="177">
        <v>657.5483870967741</v>
      </c>
      <c r="I260" s="177">
        <v>167.8709677419355</v>
      </c>
      <c r="J260" s="288">
        <v>3458.1612903225805</v>
      </c>
      <c r="K260" s="289"/>
      <c r="L260" s="177">
        <v>192.93548387096774</v>
      </c>
      <c r="M260" s="177">
        <v>10268.774193548386</v>
      </c>
      <c r="N260" s="177"/>
      <c r="O260" s="177">
        <v>4834.419354838709</v>
      </c>
      <c r="P260" s="177"/>
      <c r="Q260" s="177">
        <v>54.74193548387097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8408.58064516129</v>
      </c>
      <c r="V260" s="178"/>
      <c r="W260" s="178">
        <v>11228.064516129032</v>
      </c>
      <c r="X260" s="178">
        <v>53014.6129032258</v>
      </c>
      <c r="Y260" s="178">
        <v>40950.48387096774</v>
      </c>
      <c r="Z260" s="178">
        <v>6223.935483870968</v>
      </c>
      <c r="AA260" s="178">
        <v>278.2903225806452</v>
      </c>
      <c r="AB260" s="178">
        <v>61.903225806451616</v>
      </c>
      <c r="AC260" s="178">
        <v>1984.8709677419354</v>
      </c>
      <c r="AD260" s="178">
        <v>4522.064516129032</v>
      </c>
      <c r="AE260" s="178">
        <v>683.3870967741935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ht="12.7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288">
        <v>3550.9285714285716</v>
      </c>
      <c r="K261" s="289"/>
      <c r="L261" s="177">
        <v>193.14285714285714</v>
      </c>
      <c r="M261" s="177">
        <v>10297.214285714286</v>
      </c>
      <c r="N261" s="177"/>
      <c r="O261" s="177">
        <v>4797.535714285715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6282.392857142857</v>
      </c>
      <c r="V261" s="178"/>
      <c r="W261" s="178">
        <v>8073.642857142857</v>
      </c>
      <c r="X261" s="178">
        <v>55785.03571428572</v>
      </c>
      <c r="Y261" s="178">
        <v>39109</v>
      </c>
      <c r="Z261" s="178">
        <v>5564.464285714285</v>
      </c>
      <c r="AA261" s="178">
        <v>318.25</v>
      </c>
      <c r="AB261" s="178">
        <v>62.642857142857146</v>
      </c>
      <c r="AC261" s="178">
        <v>1782.9642857142858</v>
      </c>
      <c r="AD261" s="178">
        <v>2910.214285714286</v>
      </c>
      <c r="AE261" s="178">
        <v>2210.535714285714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-6586.441244239599</v>
      </c>
    </row>
    <row r="262" spans="3:37" ht="12.75">
      <c r="C262" s="182">
        <f t="shared" si="22"/>
        <v>2015.2499915000126</v>
      </c>
      <c r="D262" s="171">
        <v>42064</v>
      </c>
      <c r="E262" s="177">
        <v>1393.032258064516</v>
      </c>
      <c r="F262" s="177">
        <v>356.8709677419355</v>
      </c>
      <c r="G262" s="177">
        <v>1333.3870967741937</v>
      </c>
      <c r="H262" s="177">
        <v>590.3548387096774</v>
      </c>
      <c r="I262" s="177">
        <v>173.03225806451613</v>
      </c>
      <c r="J262" s="288">
        <v>3401.6451612903224</v>
      </c>
      <c r="K262" s="289"/>
      <c r="L262" s="177">
        <v>190.16129032258064</v>
      </c>
      <c r="M262" s="177">
        <v>10335.838709677419</v>
      </c>
      <c r="N262" s="177"/>
      <c r="O262" s="177">
        <v>4209.612903225807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</v>
      </c>
      <c r="V262" s="178"/>
      <c r="W262" s="178">
        <v>10221.709677419354</v>
      </c>
      <c r="X262" s="178">
        <v>55341.967741935485</v>
      </c>
      <c r="Y262" s="178">
        <v>35016.22580645161</v>
      </c>
      <c r="Z262" s="178">
        <v>5793.967741935484</v>
      </c>
      <c r="AA262" s="178">
        <v>292.9032258064516</v>
      </c>
      <c r="AB262" s="178">
        <v>93.35483870967742</v>
      </c>
      <c r="AC262" s="178">
        <v>2016.8709677419354</v>
      </c>
      <c r="AD262" s="178">
        <v>757.6451612903226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aca="true" t="shared" si="33" ref="AJ262:AJ271">+AJ261</f>
        <v>149405</v>
      </c>
      <c r="AK262" s="138">
        <f aca="true" t="shared" si="34" ref="AK262:AK268">+AI262-AI261</f>
        <v>1940.0218894009013</v>
      </c>
    </row>
    <row r="263" spans="3:37" ht="12.7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</v>
      </c>
      <c r="H263" s="177">
        <v>335.1333333333333</v>
      </c>
      <c r="I263" s="177">
        <v>167.53333333333333</v>
      </c>
      <c r="J263" s="288">
        <v>3415.6666666666665</v>
      </c>
      <c r="K263" s="289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</v>
      </c>
      <c r="U263" s="178">
        <v>8839</v>
      </c>
      <c r="V263" s="178"/>
      <c r="W263" s="178">
        <v>10141.7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ht="12.75">
      <c r="C264" s="182">
        <f t="shared" si="22"/>
        <v>2015.4166581000127</v>
      </c>
      <c r="D264" s="171">
        <v>42125</v>
      </c>
      <c r="E264" s="177">
        <v>1351.225806451613</v>
      </c>
      <c r="F264" s="177">
        <v>380.64516129032256</v>
      </c>
      <c r="G264" s="177">
        <v>1346</v>
      </c>
      <c r="H264" s="177">
        <v>931.7741935483871</v>
      </c>
      <c r="I264" s="177">
        <v>195.19354838709677</v>
      </c>
      <c r="J264" s="288">
        <v>3440.967741935484</v>
      </c>
      <c r="K264" s="289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57.32258064516129</v>
      </c>
      <c r="R264" s="177">
        <v>19.129032258064516</v>
      </c>
      <c r="S264" s="177">
        <v>10967.032258064517</v>
      </c>
      <c r="T264" s="177">
        <v>4112.419354838709</v>
      </c>
      <c r="U264" s="177">
        <v>8068.903225806452</v>
      </c>
      <c r="V264" s="177"/>
      <c r="W264" s="177">
        <v>10294.451612903225</v>
      </c>
      <c r="X264" s="177">
        <v>41456.354838709674</v>
      </c>
      <c r="Y264" s="177">
        <v>22482.90322580645</v>
      </c>
      <c r="Z264" s="177">
        <v>3724.6129032258063</v>
      </c>
      <c r="AA264" s="177">
        <v>317.64516129032256</v>
      </c>
      <c r="AB264" s="177">
        <v>68.3225806451613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ht="12.7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288">
        <v>3394.3</v>
      </c>
      <c r="K265" s="289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80.33333333333333</v>
      </c>
      <c r="R265" s="177">
        <v>19.733333333333334</v>
      </c>
      <c r="S265" s="177">
        <v>11380.266666666666</v>
      </c>
      <c r="T265" s="177">
        <v>0</v>
      </c>
      <c r="U265" s="177">
        <v>7988.033333333334</v>
      </c>
      <c r="V265" s="177"/>
      <c r="W265" s="177">
        <v>9948</v>
      </c>
      <c r="X265" s="177">
        <v>52601.5</v>
      </c>
      <c r="Y265" s="177">
        <v>37407.63333333333</v>
      </c>
      <c r="Z265" s="177">
        <v>5834.033333333334</v>
      </c>
      <c r="AA265" s="177">
        <v>185.73333333333332</v>
      </c>
      <c r="AB265" s="177">
        <v>53.96666666666667</v>
      </c>
      <c r="AC265" s="177">
        <v>1819.3666666666666</v>
      </c>
      <c r="AD265" s="177">
        <v>956.3666666666667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ht="12.75">
      <c r="C266" s="182">
        <f t="shared" si="22"/>
        <v>2015.5833247000128</v>
      </c>
      <c r="D266" s="171">
        <v>42186</v>
      </c>
      <c r="E266" s="177">
        <v>1415.774193548387</v>
      </c>
      <c r="F266" s="177">
        <v>348.0967741935484</v>
      </c>
      <c r="G266" s="177">
        <v>1222.2903225806451</v>
      </c>
      <c r="H266" s="177">
        <v>628.0322580645161</v>
      </c>
      <c r="I266" s="177">
        <v>163.38709677419354</v>
      </c>
      <c r="J266" s="288">
        <v>3407.064516129032</v>
      </c>
      <c r="K266" s="289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61.61290322580645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</v>
      </c>
      <c r="X266" s="177">
        <v>48275.25806451613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</v>
      </c>
      <c r="AE266" s="177">
        <v>3797.032258064516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ht="12.7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641.8387096774194</v>
      </c>
      <c r="I267" s="177">
        <v>152.1290322580645</v>
      </c>
      <c r="J267" s="288">
        <v>3457.12903225806</v>
      </c>
      <c r="K267" s="289"/>
      <c r="L267" s="177">
        <v>271.6774193548387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</v>
      </c>
      <c r="Y267" s="178">
        <v>9016.322580645161</v>
      </c>
      <c r="Z267" s="178">
        <v>2366.032258064516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</v>
      </c>
      <c r="AE267" s="177">
        <v>4006.032258064516</v>
      </c>
      <c r="AF267" s="177"/>
      <c r="AG267" s="177"/>
      <c r="AH267" s="177"/>
      <c r="AI267" s="148">
        <f aca="true" t="shared" si="35" ref="AI267:AI274">SUM(E267:AH267)</f>
        <v>134295.70967741936</v>
      </c>
      <c r="AJ267" s="252">
        <f>+AJ266</f>
        <v>149405</v>
      </c>
      <c r="AK267" s="138">
        <f t="shared" si="34"/>
        <v>-8218.838709677395</v>
      </c>
    </row>
    <row r="268" spans="3:37" ht="12.7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</v>
      </c>
      <c r="I268" s="177">
        <v>156.8</v>
      </c>
      <c r="J268" s="288">
        <v>3365.76666666667</v>
      </c>
      <c r="K268" s="289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</v>
      </c>
      <c r="S268" s="177">
        <f>9492.36666666667+1300.23333333333</f>
        <v>10792.6</v>
      </c>
      <c r="T268" s="177">
        <v>7276.433333333333</v>
      </c>
      <c r="U268" s="177">
        <v>5481.9</v>
      </c>
      <c r="V268" s="177"/>
      <c r="W268" s="177">
        <v>4441.533333333334</v>
      </c>
      <c r="X268" s="178">
        <v>53443.333333333336</v>
      </c>
      <c r="Y268" s="178">
        <v>21087.933333333334</v>
      </c>
      <c r="Z268" s="178">
        <v>2572.8</v>
      </c>
      <c r="AA268" s="177">
        <v>365.03333333333336</v>
      </c>
      <c r="AB268" s="177">
        <v>124.93333333333334</v>
      </c>
      <c r="AC268" s="177">
        <v>1973.6</v>
      </c>
      <c r="AD268" s="177">
        <v>1077.9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806.7236559139856</v>
      </c>
    </row>
    <row r="269" spans="3:37" ht="12.75">
      <c r="C269" s="182">
        <f t="shared" si="22"/>
        <v>2015.833324600013</v>
      </c>
      <c r="D269" s="171">
        <v>42278</v>
      </c>
      <c r="E269" s="177">
        <v>1323.2903225806451</v>
      </c>
      <c r="F269" s="177">
        <v>360.0967741935484</v>
      </c>
      <c r="G269" s="177">
        <v>1172.258064516129</v>
      </c>
      <c r="H269" s="177">
        <v>637.1290322580645</v>
      </c>
      <c r="I269" s="177">
        <v>151.2258064516129</v>
      </c>
      <c r="J269" s="288">
        <v>3472.967741935484</v>
      </c>
      <c r="K269" s="289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66.64516129032258</v>
      </c>
      <c r="R269" s="177">
        <v>19.774193548387096</v>
      </c>
      <c r="S269" s="177">
        <v>10558.2580645161</v>
      </c>
      <c r="T269" s="177">
        <v>2574.967741935484</v>
      </c>
      <c r="U269" s="177">
        <v>6749.225806451613</v>
      </c>
      <c r="V269" s="177">
        <v>9436.225806451614</v>
      </c>
      <c r="W269" s="177">
        <v>678</v>
      </c>
      <c r="X269" s="178">
        <v>51913.032258064515</v>
      </c>
      <c r="Y269" s="178">
        <v>36384.06451612903</v>
      </c>
      <c r="Z269" s="178">
        <v>5325.129032258064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ht="12.7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288">
        <v>3349.4</v>
      </c>
      <c r="K270" s="289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</v>
      </c>
      <c r="V270" s="177">
        <v>8981.633333333333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</v>
      </c>
      <c r="AB270" s="177">
        <v>123.06666666666666</v>
      </c>
      <c r="AC270" s="177">
        <v>1756.03333333333</v>
      </c>
      <c r="AD270" s="178">
        <v>1779.8333333333333</v>
      </c>
      <c r="AE270" s="178">
        <v>3929.133333333333</v>
      </c>
      <c r="AF270" s="177"/>
      <c r="AG270" s="177"/>
      <c r="AH270" s="177"/>
      <c r="AI270" s="148">
        <f t="shared" si="35"/>
        <v>154074.7666666667</v>
      </c>
      <c r="AJ270" s="252">
        <f t="shared" si="33"/>
        <v>149405</v>
      </c>
      <c r="AK270" s="138">
        <f>+AI270-AI269</f>
        <v>747.3150537635374</v>
      </c>
    </row>
    <row r="271" spans="3:37" ht="12.7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</v>
      </c>
      <c r="I271" s="177">
        <v>133.74193548387098</v>
      </c>
      <c r="J271" s="288">
        <v>3288.8709677419356</v>
      </c>
      <c r="K271" s="289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</v>
      </c>
      <c r="R271" s="177">
        <v>18.258064516129032</v>
      </c>
      <c r="S271" s="177">
        <f>8918.58064516129+1190.677419</f>
        <v>10109.25806416129</v>
      </c>
      <c r="T271" s="177">
        <v>4617.193548387097</v>
      </c>
      <c r="U271" s="177">
        <v>7547.387096774193</v>
      </c>
      <c r="V271" s="177">
        <v>10184.41935483871</v>
      </c>
      <c r="W271" s="189" t="s">
        <v>37</v>
      </c>
      <c r="X271" s="177">
        <v>54585.12903225807</v>
      </c>
      <c r="Y271" s="177">
        <v>39603.032258064515</v>
      </c>
      <c r="Z271" s="177">
        <v>4693.129032258064</v>
      </c>
      <c r="AA271" s="177">
        <v>136.19354838709677</v>
      </c>
      <c r="AB271" s="177">
        <v>33.12903225806452</v>
      </c>
      <c r="AC271" s="177">
        <v>1890.774193548387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</v>
      </c>
    </row>
    <row r="272" spans="3:37" s="201" customFormat="1" ht="12.75">
      <c r="C272" s="195">
        <f aca="true" t="shared" si="36" ref="C272:C300">+C271+0.0833333</f>
        <v>2016.083324500013</v>
      </c>
      <c r="D272" s="196">
        <v>42370</v>
      </c>
      <c r="E272" s="197">
        <v>1119.225806451613</v>
      </c>
      <c r="F272" s="197">
        <v>353.2903225806452</v>
      </c>
      <c r="G272" s="197">
        <v>1007.7741935483871</v>
      </c>
      <c r="H272" s="197">
        <v>663.6451612903226</v>
      </c>
      <c r="I272" s="197">
        <v>127.87096774193549</v>
      </c>
      <c r="J272" s="292">
        <v>3243.32258064516</v>
      </c>
      <c r="K272" s="293"/>
      <c r="L272" s="197">
        <v>164.3548387096774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</v>
      </c>
      <c r="Z272" s="197">
        <v>3946.2903225806454</v>
      </c>
      <c r="AA272" s="197">
        <v>356.83870967741933</v>
      </c>
      <c r="AB272" s="197">
        <v>74.48387096774194</v>
      </c>
      <c r="AC272" s="197">
        <v>1865.967741935484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-50095.12903190323</v>
      </c>
    </row>
    <row r="273" spans="3:37" s="201" customFormat="1" ht="12.7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322.7931034482759</v>
      </c>
      <c r="G273" s="197">
        <v>1008.9310344827586</v>
      </c>
      <c r="H273" s="197">
        <v>620.2068965517242</v>
      </c>
      <c r="I273" s="197">
        <v>133.3448275862069</v>
      </c>
      <c r="J273" s="292">
        <v>3242.896551724138</v>
      </c>
      <c r="K273" s="293">
        <v>0</v>
      </c>
      <c r="L273" s="197">
        <v>183.44827586206895</v>
      </c>
      <c r="M273" s="197">
        <v>10945.931034482759</v>
      </c>
      <c r="N273" s="197"/>
      <c r="O273" s="197">
        <v>3794.793103448276</v>
      </c>
      <c r="P273" s="197"/>
      <c r="Q273" s="197">
        <v>51.206896551724135</v>
      </c>
      <c r="R273" s="197">
        <v>16.137931034482758</v>
      </c>
      <c r="S273" s="197">
        <v>9842.931034482759</v>
      </c>
      <c r="T273" s="197">
        <v>3873.896551724138</v>
      </c>
      <c r="U273" s="197">
        <v>7572.896551724138</v>
      </c>
      <c r="V273" s="197">
        <v>4223.896551724138</v>
      </c>
      <c r="W273" s="198"/>
      <c r="X273" s="197">
        <v>55195.96551724138</v>
      </c>
      <c r="Y273" s="197">
        <v>24998.137931034482</v>
      </c>
      <c r="Z273" s="197">
        <v>2003.7586206896551</v>
      </c>
      <c r="AA273" s="197">
        <v>194</v>
      </c>
      <c r="AB273" s="197">
        <v>72.48275862068965</v>
      </c>
      <c r="AC273" s="197">
        <v>1502</v>
      </c>
      <c r="AD273" s="197">
        <v>565.4137931034483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aca="true" t="shared" si="37" ref="AK273:AK287">+AI273-AI272</f>
        <v>20548.19911012231</v>
      </c>
    </row>
    <row r="274" spans="3:37" s="205" customFormat="1" ht="12.7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</v>
      </c>
      <c r="H274" s="197">
        <v>598.3225806451613</v>
      </c>
      <c r="I274" s="197">
        <v>118.51612903225806</v>
      </c>
      <c r="J274" s="292">
        <v>2940.90322580645</v>
      </c>
      <c r="K274" s="293"/>
      <c r="L274" s="197">
        <v>213.09677419354838</v>
      </c>
      <c r="M274" s="197">
        <v>10465.741935483871</v>
      </c>
      <c r="N274" s="197"/>
      <c r="O274" s="197">
        <v>4093.032258064516</v>
      </c>
      <c r="P274" s="197"/>
      <c r="Q274" s="197">
        <v>52.96774193548387</v>
      </c>
      <c r="R274" s="197">
        <v>14.064516129032258</v>
      </c>
      <c r="S274" s="197">
        <v>9719.58064516129</v>
      </c>
      <c r="T274" s="197">
        <v>2992.3870967741937</v>
      </c>
      <c r="U274" s="197">
        <v>6006.612903225807</v>
      </c>
      <c r="V274" s="197">
        <v>0</v>
      </c>
      <c r="W274" s="198"/>
      <c r="X274" s="197">
        <v>48012.12903225807</v>
      </c>
      <c r="Y274" s="197">
        <v>39933</v>
      </c>
      <c r="Z274" s="197">
        <v>6135.677419354839</v>
      </c>
      <c r="AA274" s="197">
        <v>182.25806451612902</v>
      </c>
      <c r="AB274" s="197">
        <v>56.67741935483871</v>
      </c>
      <c r="AC274" s="197">
        <v>1820.6774193548388</v>
      </c>
      <c r="AD274" s="197">
        <v>963.7096774193549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4905.284760845447</v>
      </c>
    </row>
    <row r="275" spans="3:39" s="205" customFormat="1" ht="12.7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596.3</v>
      </c>
      <c r="I275" s="197">
        <v>123.7</v>
      </c>
      <c r="J275" s="292">
        <v>3179.33333333333</v>
      </c>
      <c r="K275" s="293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</v>
      </c>
      <c r="T275" s="197">
        <v>3353.4</v>
      </c>
      <c r="U275" s="197">
        <v>5271.2</v>
      </c>
      <c r="V275" s="197">
        <v>0</v>
      </c>
      <c r="W275" s="198"/>
      <c r="X275" s="197">
        <v>54283.03333333333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aca="true" t="shared" si="38" ref="AI275:AI284">SUM(E275:AH275)</f>
        <v>142185.83333333328</v>
      </c>
      <c r="AJ275" s="206">
        <f aca="true" t="shared" si="39" ref="AJ275:AJ283">+AJ274</f>
        <v>135096</v>
      </c>
      <c r="AK275" s="200">
        <f t="shared" si="37"/>
        <v>5745.9623655913165</v>
      </c>
      <c r="AM275" s="206"/>
    </row>
    <row r="276" spans="3:37" s="205" customFormat="1" ht="12.7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339.7741935483871</v>
      </c>
      <c r="G276" s="197">
        <v>975.258064516129</v>
      </c>
      <c r="H276" s="197">
        <v>601.0322580645161</v>
      </c>
      <c r="I276" s="197">
        <v>128.74193548387098</v>
      </c>
      <c r="J276" s="292">
        <v>3165.16129032258</v>
      </c>
      <c r="K276" s="293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9326.935483870968</v>
      </c>
      <c r="T276" s="197">
        <v>2876.516129032258</v>
      </c>
      <c r="U276" s="197">
        <v>6048.774193548387</v>
      </c>
      <c r="V276" s="197">
        <v>0</v>
      </c>
      <c r="W276" s="198"/>
      <c r="X276" s="197">
        <v>55623.25806451613</v>
      </c>
      <c r="Y276" s="197">
        <v>33996.48387096774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</v>
      </c>
    </row>
    <row r="277" spans="3:37" s="211" customFormat="1" ht="12.7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607.3</v>
      </c>
      <c r="I277" s="208">
        <v>128.36666666666667</v>
      </c>
      <c r="J277" s="292">
        <v>3254.866666666667</v>
      </c>
      <c r="K277" s="293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9383.566666666668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9357.333333333334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7" s="211" customFormat="1" ht="12.7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967.7741935483871</v>
      </c>
      <c r="H278" s="208">
        <v>637.6451612903226</v>
      </c>
      <c r="I278" s="208">
        <v>134.16129032258064</v>
      </c>
      <c r="J278" s="292">
        <v>3235.8387096774195</v>
      </c>
      <c r="K278" s="293"/>
      <c r="L278" s="208">
        <v>179.93548387096774</v>
      </c>
      <c r="M278" s="208">
        <v>10581.193548387097</v>
      </c>
      <c r="N278" s="208"/>
      <c r="O278" s="208">
        <v>3546.548387096774</v>
      </c>
      <c r="P278" s="208"/>
      <c r="Q278" s="208">
        <v>46.03225806451613</v>
      </c>
      <c r="R278" s="208">
        <v>15.870967741935484</v>
      </c>
      <c r="S278" s="208">
        <v>9072.290322580646</v>
      </c>
      <c r="T278" s="208">
        <v>4514.8387096774195</v>
      </c>
      <c r="U278" s="208">
        <v>6118.709677419355</v>
      </c>
      <c r="V278" s="208">
        <v>0</v>
      </c>
      <c r="W278" s="208"/>
      <c r="X278" s="208">
        <v>53051.45161290323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50.45161290322581</v>
      </c>
      <c r="AC278" s="208">
        <v>729.0645161290323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7" s="211" customFormat="1" ht="12.7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935.741935483871</v>
      </c>
      <c r="H279" s="208">
        <v>615.8387096774194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9502.225806451614</v>
      </c>
      <c r="T279" s="208">
        <v>2827.548387096774</v>
      </c>
      <c r="U279" s="208">
        <v>6092.4838709677415</v>
      </c>
      <c r="V279" s="208">
        <v>0</v>
      </c>
      <c r="W279" s="214"/>
      <c r="X279" s="208">
        <v>53724.77419354839</v>
      </c>
      <c r="Y279" s="208">
        <v>34606.032258064515</v>
      </c>
      <c r="Z279" s="208">
        <v>11677.032258064517</v>
      </c>
      <c r="AA279" s="208">
        <v>52.96774193548387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</v>
      </c>
      <c r="AJ279" s="206">
        <f t="shared" si="39"/>
        <v>135096</v>
      </c>
      <c r="AK279" s="203">
        <f t="shared" si="37"/>
        <v>410.0322580645734</v>
      </c>
    </row>
    <row r="280" spans="3:37" s="211" customFormat="1" ht="12.75">
      <c r="C280" s="195">
        <f t="shared" si="36"/>
        <v>2016.7499909000135</v>
      </c>
      <c r="D280" s="207">
        <v>42614</v>
      </c>
      <c r="E280" s="208">
        <v>1072.4</v>
      </c>
      <c r="F280" s="208">
        <v>273.7</v>
      </c>
      <c r="G280" s="208">
        <v>943.3666666666667</v>
      </c>
      <c r="H280" s="208">
        <v>601.6333333333333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45.36666666666667</v>
      </c>
      <c r="R280" s="208">
        <v>14.033333333333333</v>
      </c>
      <c r="S280" s="208">
        <v>9208.466666666667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2983.866666666667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7" s="205" customFormat="1" ht="12.7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318.3225806451613</v>
      </c>
      <c r="G281" s="197">
        <v>936.8064516129032</v>
      </c>
      <c r="H281" s="197">
        <v>609.483870967742</v>
      </c>
      <c r="I281" s="197">
        <v>135</v>
      </c>
      <c r="J281" s="215">
        <v>3232.1290322580644</v>
      </c>
      <c r="K281" s="216"/>
      <c r="L281" s="197">
        <v>193.4516129032258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49353.12903225807</v>
      </c>
      <c r="Y281" s="197">
        <v>34508.032258064515</v>
      </c>
      <c r="Z281" s="197">
        <v>10156.774193548386</v>
      </c>
      <c r="AA281" s="197">
        <v>79.09677419354838</v>
      </c>
      <c r="AB281" s="197">
        <v>40.58064516129032</v>
      </c>
      <c r="AC281" s="197">
        <v>1498.774193548387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131878.6129032258</v>
      </c>
      <c r="AJ281" s="206">
        <f t="shared" si="39"/>
        <v>135096</v>
      </c>
      <c r="AK281" s="203">
        <f>+AI281-AI280</f>
        <v>3381.346236559126</v>
      </c>
    </row>
    <row r="282" spans="3:37" s="205" customFormat="1" ht="12.7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627.8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3104.266666666667</v>
      </c>
      <c r="P282" s="197"/>
      <c r="Q282" s="197">
        <v>45.666666666666664</v>
      </c>
      <c r="R282" s="197">
        <v>12.166666666666666</v>
      </c>
      <c r="S282" s="197">
        <v>9940.933333333332</v>
      </c>
      <c r="T282" s="197">
        <v>2642.866666666667</v>
      </c>
      <c r="U282" s="197">
        <v>0</v>
      </c>
      <c r="V282" s="197">
        <v>0</v>
      </c>
      <c r="W282" s="198"/>
      <c r="X282" s="197">
        <v>52816.86666666667</v>
      </c>
      <c r="Y282" s="197">
        <v>36082.86666666667</v>
      </c>
      <c r="Z282" s="197">
        <v>10601.8</v>
      </c>
      <c r="AA282" s="197">
        <v>63.96666666666667</v>
      </c>
      <c r="AB282" s="197">
        <v>43.13333333333333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5002.087096774194</v>
      </c>
    </row>
    <row r="283" spans="3:37" s="201" customFormat="1" ht="12.75">
      <c r="C283" s="195">
        <f t="shared" si="36"/>
        <v>2016.9999908000136</v>
      </c>
      <c r="D283" s="196">
        <v>42705</v>
      </c>
      <c r="E283" s="197">
        <v>954.1935483870968</v>
      </c>
      <c r="F283" s="197">
        <v>320.64516129032256</v>
      </c>
      <c r="G283" s="197">
        <v>910.4193548387096</v>
      </c>
      <c r="H283" s="197">
        <v>845.6129032258065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</v>
      </c>
      <c r="AA283" s="197">
        <v>32.774193548387096</v>
      </c>
      <c r="AB283" s="197">
        <v>41.645161290322584</v>
      </c>
      <c r="AC283" s="197">
        <v>818.3870967741935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138207.7741935484</v>
      </c>
      <c r="AJ283" s="206">
        <f t="shared" si="39"/>
        <v>135096</v>
      </c>
      <c r="AK283" s="200">
        <f t="shared" si="37"/>
        <v>1327.0741935484111</v>
      </c>
    </row>
    <row r="284" spans="3:38" s="225" customFormat="1" ht="12.75">
      <c r="C284" s="223">
        <f t="shared" si="36"/>
        <v>2017.0833241000137</v>
      </c>
      <c r="D284" s="224">
        <v>42736</v>
      </c>
      <c r="E284" s="247">
        <v>921.3548387096774</v>
      </c>
      <c r="F284" s="247">
        <v>308.16129032258067</v>
      </c>
      <c r="G284" s="247">
        <v>922.4193548387096</v>
      </c>
      <c r="H284" s="247">
        <v>1435.774193548387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38.32258064516129</v>
      </c>
      <c r="R284" s="247">
        <v>11.96774193548387</v>
      </c>
      <c r="S284" s="247">
        <v>9185</v>
      </c>
      <c r="T284" s="247">
        <v>378.64516129032256</v>
      </c>
      <c r="U284" s="247">
        <v>5753.225806451613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</v>
      </c>
      <c r="AB284" s="247">
        <v>0</v>
      </c>
      <c r="AC284" s="247">
        <v>1265.225806451613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</v>
      </c>
      <c r="AL284" s="227"/>
    </row>
    <row r="285" spans="3:37" s="142" customFormat="1" ht="12.7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7" s="142" customFormat="1" ht="12.7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aca="true" t="shared" si="40" ref="AJ286:AJ295">+AJ285</f>
        <v>134341</v>
      </c>
      <c r="AK286" s="226">
        <f t="shared" si="37"/>
        <v>-2212</v>
      </c>
    </row>
    <row r="287" spans="3:37" s="142" customFormat="1" ht="12.7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7" ht="12.7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aca="true" t="shared" si="41" ref="AK288:AK294">+AI288-AI287</f>
        <v>1812</v>
      </c>
    </row>
    <row r="289" spans="3:37" ht="12.75">
      <c r="C289" s="223">
        <f t="shared" si="36"/>
        <v>2017.499990600014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3:37" ht="12.7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3:37" ht="12.7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3:37" ht="12.75">
      <c r="C292" s="223">
        <f t="shared" si="36"/>
        <v>2017.749990500014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3:37" ht="12.75">
      <c r="C293" s="223">
        <f t="shared" si="36"/>
        <v>2017.833323800014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3:37" ht="12.7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3:37" ht="12.7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7" ht="12.7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aca="true" t="shared" si="42" ref="AK296:AK302">+AI296-AI295</f>
        <v>-2952</v>
      </c>
    </row>
    <row r="297" spans="1:37" ht="12.7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aca="true" t="shared" si="43" ref="AJ297:AJ303">+AJ296</f>
        <v>132205</v>
      </c>
      <c r="AK297" s="263">
        <f t="shared" si="42"/>
        <v>-36676</v>
      </c>
    </row>
    <row r="298" spans="1:37" ht="12.7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7" ht="12.7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7" ht="12.7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7" ht="12.75">
      <c r="A301" s="257"/>
      <c r="B301" s="257"/>
      <c r="C301" s="258">
        <f aca="true" t="shared" si="44" ref="C301:C307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</row>
    <row r="302" spans="1:37" ht="12.7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7" ht="12.7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aca="true" t="shared" si="45" ref="AK303:AK309">+AI303-AI302</f>
        <v>-16207</v>
      </c>
    </row>
    <row r="304" spans="1:37" ht="12.7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7" ht="12.7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7" ht="12.7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7" ht="12.7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7" ht="12.75">
      <c r="C308" s="267">
        <f aca="true" t="shared" si="46" ref="C308:C313">+C307+0.0833333</f>
        <v>2019.0833233000149</v>
      </c>
      <c r="D308" s="268">
        <v>43466</v>
      </c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70">
        <v>131290</v>
      </c>
      <c r="AJ308" s="271">
        <v>139721</v>
      </c>
      <c r="AK308" s="272">
        <f t="shared" si="45"/>
        <v>-8987</v>
      </c>
    </row>
    <row r="309" spans="3:37" ht="12.75">
      <c r="C309" s="267">
        <f t="shared" si="46"/>
        <v>2019.166656600015</v>
      </c>
      <c r="D309" s="268">
        <v>43497</v>
      </c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269"/>
      <c r="AH309" s="269"/>
      <c r="AI309" s="270">
        <v>142489</v>
      </c>
      <c r="AJ309" s="271">
        <v>139721</v>
      </c>
      <c r="AK309" s="272">
        <f t="shared" si="45"/>
        <v>11199</v>
      </c>
    </row>
    <row r="310" spans="3:37" ht="12.75">
      <c r="C310" s="267">
        <f t="shared" si="46"/>
        <v>2019.249989900015</v>
      </c>
      <c r="D310" s="268">
        <v>43525</v>
      </c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70">
        <v>140094</v>
      </c>
      <c r="AJ310" s="271">
        <v>139721</v>
      </c>
      <c r="AK310" s="272">
        <f aca="true" t="shared" si="47" ref="AK310:AK315">+AI310-AI309</f>
        <v>-2395</v>
      </c>
    </row>
    <row r="311" spans="3:37" ht="12.75">
      <c r="C311" s="267">
        <f t="shared" si="46"/>
        <v>2019.333323200015</v>
      </c>
      <c r="D311" s="268">
        <v>43556</v>
      </c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70">
        <v>129871</v>
      </c>
      <c r="AJ311" s="271">
        <v>139721</v>
      </c>
      <c r="AK311" s="272">
        <f t="shared" si="47"/>
        <v>-10223</v>
      </c>
    </row>
    <row r="312" spans="3:37" ht="12.75">
      <c r="C312" s="267">
        <f t="shared" si="46"/>
        <v>2019.416656500015</v>
      </c>
      <c r="D312" s="268">
        <v>43586</v>
      </c>
      <c r="AI312" s="270">
        <v>136208</v>
      </c>
      <c r="AJ312" s="271">
        <v>139721</v>
      </c>
      <c r="AK312" s="272">
        <f t="shared" si="47"/>
        <v>6337</v>
      </c>
    </row>
    <row r="313" spans="3:37" ht="12.75">
      <c r="C313" s="267">
        <f t="shared" si="46"/>
        <v>2019.499989800015</v>
      </c>
      <c r="D313" s="268">
        <v>43617</v>
      </c>
      <c r="AI313" s="270">
        <v>136972</v>
      </c>
      <c r="AJ313" s="271">
        <v>139721</v>
      </c>
      <c r="AK313" s="272">
        <f t="shared" si="47"/>
        <v>764</v>
      </c>
    </row>
    <row r="314" spans="3:37" ht="12.75">
      <c r="C314" s="267">
        <f aca="true" t="shared" si="48" ref="C314:C321">+C313+0.0833333</f>
        <v>2019.5833231000151</v>
      </c>
      <c r="D314" s="268">
        <v>43647</v>
      </c>
      <c r="AI314" s="270">
        <v>132067</v>
      </c>
      <c r="AJ314" s="271">
        <v>139721</v>
      </c>
      <c r="AK314" s="272">
        <f t="shared" si="47"/>
        <v>-4905</v>
      </c>
    </row>
    <row r="315" spans="3:37" ht="12.75">
      <c r="C315" s="267">
        <f t="shared" si="48"/>
        <v>2019.6666564000152</v>
      </c>
      <c r="D315" s="268">
        <v>43678</v>
      </c>
      <c r="AI315" s="270">
        <v>142623</v>
      </c>
      <c r="AJ315" s="271">
        <v>139721</v>
      </c>
      <c r="AK315" s="272">
        <f t="shared" si="47"/>
        <v>10556</v>
      </c>
    </row>
    <row r="316" spans="3:37" ht="12.75">
      <c r="C316" s="267">
        <f t="shared" si="48"/>
        <v>2019.7499897000152</v>
      </c>
      <c r="D316" s="268">
        <v>43709</v>
      </c>
      <c r="AI316" s="270">
        <v>149391</v>
      </c>
      <c r="AJ316" s="271">
        <v>139721</v>
      </c>
      <c r="AK316" s="272">
        <f>+AI316-AI315</f>
        <v>6768</v>
      </c>
    </row>
    <row r="317" spans="3:37" ht="12.75">
      <c r="C317" s="267">
        <f t="shared" si="48"/>
        <v>2019.8333230000153</v>
      </c>
      <c r="D317" s="268">
        <v>43739</v>
      </c>
      <c r="AI317" s="270">
        <v>138069</v>
      </c>
      <c r="AJ317" s="271">
        <v>139721</v>
      </c>
      <c r="AK317" s="272">
        <f>+AI317-AI316</f>
        <v>-11322</v>
      </c>
    </row>
    <row r="318" spans="3:37" ht="12.75">
      <c r="C318" s="267">
        <f t="shared" si="48"/>
        <v>2019.9166563000153</v>
      </c>
      <c r="D318" s="268">
        <v>43770</v>
      </c>
      <c r="AI318" s="270">
        <v>152710</v>
      </c>
      <c r="AJ318" s="271">
        <v>139721</v>
      </c>
      <c r="AK318" s="272">
        <f>+AI318-AI317</f>
        <v>14641</v>
      </c>
    </row>
    <row r="319" spans="3:37" ht="12.75">
      <c r="C319" s="267">
        <f t="shared" si="48"/>
        <v>2019.9999896000154</v>
      </c>
      <c r="D319" s="268">
        <v>43800</v>
      </c>
      <c r="AI319" s="270">
        <v>145463</v>
      </c>
      <c r="AJ319" s="271">
        <v>139721</v>
      </c>
      <c r="AK319" s="272">
        <f>+AI319-AI318</f>
        <v>-7247</v>
      </c>
    </row>
    <row r="320" spans="3:37" ht="12.75">
      <c r="C320" s="301">
        <f t="shared" si="48"/>
        <v>2020.0833229000154</v>
      </c>
      <c r="D320" s="302">
        <v>43831</v>
      </c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303">
        <v>146235</v>
      </c>
      <c r="AJ320" s="128">
        <v>148774</v>
      </c>
      <c r="AK320" s="304">
        <f>+AI320-AI319</f>
        <v>772</v>
      </c>
    </row>
    <row r="321" spans="3:37" ht="12.75">
      <c r="C321" s="301">
        <f t="shared" si="48"/>
        <v>2020.1666562000155</v>
      </c>
      <c r="D321" s="302">
        <v>43862</v>
      </c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303">
        <v>151488</v>
      </c>
      <c r="AJ321" s="128">
        <v>148774</v>
      </c>
      <c r="AK321" s="304">
        <f>+AI321-AI320</f>
        <v>5253</v>
      </c>
    </row>
  </sheetData>
  <sheetProtection/>
  <mergeCells count="194"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  <mergeCell ref="J256:K256"/>
    <mergeCell ref="J257:K257"/>
    <mergeCell ref="J258:K258"/>
    <mergeCell ref="J259:K259"/>
    <mergeCell ref="J260:K26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196:K196"/>
    <mergeCell ref="J192:K192"/>
    <mergeCell ref="J204:K204"/>
    <mergeCell ref="J200:K200"/>
    <mergeCell ref="J201:K201"/>
    <mergeCell ref="J198:K198"/>
    <mergeCell ref="J203:K203"/>
    <mergeCell ref="J202:K202"/>
    <mergeCell ref="J197:K197"/>
    <mergeCell ref="J165:K165"/>
    <mergeCell ref="J185:K185"/>
    <mergeCell ref="J195:K195"/>
    <mergeCell ref="J194:K194"/>
    <mergeCell ref="J191:K191"/>
    <mergeCell ref="J186:K186"/>
    <mergeCell ref="J190:K190"/>
    <mergeCell ref="J169:K169"/>
    <mergeCell ref="J181:K181"/>
    <mergeCell ref="J179:K179"/>
    <mergeCell ref="J215:K215"/>
    <mergeCell ref="J208:K208"/>
    <mergeCell ref="J209:K209"/>
    <mergeCell ref="J207:K207"/>
    <mergeCell ref="J216:K216"/>
    <mergeCell ref="J210:K210"/>
    <mergeCell ref="J214:K214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153:K153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46:K146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5:K105"/>
    <mergeCell ref="J94:K94"/>
    <mergeCell ref="J95:K95"/>
    <mergeCell ref="J97:K97"/>
    <mergeCell ref="J103:K103"/>
    <mergeCell ref="J102:K102"/>
    <mergeCell ref="J100:K100"/>
    <mergeCell ref="J85:K85"/>
    <mergeCell ref="J86:K86"/>
    <mergeCell ref="J87:K87"/>
    <mergeCell ref="J88:K88"/>
    <mergeCell ref="J93:K93"/>
    <mergeCell ref="J104:K104"/>
    <mergeCell ref="J89:K89"/>
    <mergeCell ref="J90:K90"/>
    <mergeCell ref="J91:K91"/>
    <mergeCell ref="J92:K92"/>
    <mergeCell ref="J151:K151"/>
    <mergeCell ref="J176:K176"/>
    <mergeCell ref="J174:K174"/>
    <mergeCell ref="J184:K184"/>
    <mergeCell ref="J154:K154"/>
    <mergeCell ref="J168:K168"/>
    <mergeCell ref="J163:K163"/>
    <mergeCell ref="J166:K166"/>
    <mergeCell ref="J164:K164"/>
    <mergeCell ref="J180:K180"/>
    <mergeCell ref="J217:K217"/>
    <mergeCell ref="J221:K221"/>
    <mergeCell ref="J236:K236"/>
    <mergeCell ref="J234:K234"/>
    <mergeCell ref="J230:K230"/>
    <mergeCell ref="J225:K225"/>
    <mergeCell ref="J223:K223"/>
    <mergeCell ref="J228:K228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239:K239"/>
    <mergeCell ref="J157:K157"/>
    <mergeCell ref="J199:K199"/>
    <mergeCell ref="J175:K175"/>
    <mergeCell ref="J193:K193"/>
    <mergeCell ref="J182:K182"/>
    <mergeCell ref="J183:K183"/>
    <mergeCell ref="J219:K219"/>
    <mergeCell ref="J231:K231"/>
    <mergeCell ref="J167:K167"/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</mergeCells>
  <printOptions horizontalCentered="1" verticalCentered="1"/>
  <pageMargins left="0.7874015748031497" right="0.7874015748031497" top="0.3937007874015748" bottom="0.2755905511811024" header="0.2362204724409449" footer="0.2362204724409449"/>
  <pageSetup fitToHeight="1" fitToWidth="1" horizontalDpi="600" verticalDpi="600" orientation="landscape" scale="31" r:id="rId3"/>
  <headerFooter alignWithMargins="0">
    <oddFooter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AU497"/>
  <sheetViews>
    <sheetView zoomScalePageLayoutView="0" workbookViewId="0" topLeftCell="A1">
      <pane xSplit="3" ySplit="4" topLeftCell="N31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321" sqref="P321"/>
    </sheetView>
  </sheetViews>
  <sheetFormatPr defaultColWidth="11.421875" defaultRowHeight="12.75"/>
  <cols>
    <col min="1" max="1" width="2.140625" style="0" customWidth="1"/>
    <col min="2" max="2" width="8.421875" style="5" customWidth="1"/>
    <col min="4" max="4" width="11.28125" style="31" customWidth="1"/>
    <col min="5" max="5" width="14.7109375" style="8" customWidth="1"/>
    <col min="6" max="6" width="9.140625" style="8" customWidth="1"/>
    <col min="7" max="7" width="11.57421875" style="0" bestFit="1" customWidth="1"/>
    <col min="8" max="8" width="12.28125" style="0" customWidth="1"/>
    <col min="9" max="9" width="14.8515625" style="0" customWidth="1"/>
    <col min="10" max="10" width="14.421875" style="0" customWidth="1"/>
    <col min="11" max="12" width="15.00390625" style="0" customWidth="1"/>
    <col min="13" max="13" width="10.421875" style="0" customWidth="1"/>
    <col min="14" max="14" width="20.140625" style="0" customWidth="1"/>
    <col min="15" max="15" width="17.57421875" style="0" customWidth="1"/>
    <col min="16" max="16" width="14.7109375" style="0" bestFit="1" customWidth="1"/>
    <col min="17" max="17" width="15.57421875" style="0" bestFit="1" customWidth="1"/>
    <col min="30" max="30" width="14.8515625" style="0" customWidth="1"/>
    <col min="31" max="31" width="4.28125" style="0" customWidth="1"/>
    <col min="33" max="33" width="15.421875" style="0" customWidth="1"/>
    <col min="34" max="34" width="13.28125" style="0" customWidth="1"/>
    <col min="35" max="35" width="10.57421875" style="0" customWidth="1"/>
    <col min="36" max="36" width="11.140625" style="0" customWidth="1"/>
  </cols>
  <sheetData>
    <row r="1" ht="12.75"/>
    <row r="2" ht="12.75"/>
    <row r="3" ht="12.75"/>
    <row r="4" spans="2:15" ht="25.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15" ht="12.7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15" ht="12.7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15" ht="12.7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ht="12.7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294" t="s">
        <v>31</v>
      </c>
      <c r="AG11" s="294"/>
      <c r="AH11" s="294"/>
      <c r="AI11" s="294"/>
      <c r="AJ11" s="294"/>
    </row>
    <row r="12" spans="2:36" ht="12.7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294" t="s">
        <v>32</v>
      </c>
      <c r="AG12" s="294"/>
      <c r="AH12" s="294"/>
      <c r="AI12" s="294"/>
      <c r="AJ12" s="294"/>
    </row>
    <row r="13" spans="2:36" ht="12.7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294" t="s">
        <v>33</v>
      </c>
      <c r="AG13" s="294"/>
      <c r="AH13" s="294"/>
      <c r="AI13" s="294"/>
      <c r="AJ13" s="294"/>
    </row>
    <row r="14" spans="2:15" ht="12.7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ht="12.7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aca="true" t="shared" si="0" ref="AJ18:AJ30">+AH18+AG18</f>
        <v>573197</v>
      </c>
    </row>
    <row r="19" spans="2:36" ht="15.7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ht="12.7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ht="12.7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ht="12.7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ht="12.7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ht="12.7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ht="12.7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ht="12.7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5" ht="12.7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5" ht="12.7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ht="12.75">
      <c r="B43" s="80">
        <v>1997.249998700002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ht="12.7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ht="12.7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ht="12.75">
      <c r="B46" s="80">
        <v>1997.499998600002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ht="12.7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ht="12.7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5" ht="12.7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5" ht="12.7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5" ht="12.7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5" ht="13.5" thickBot="1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ht="12.7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ht="12.7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</v>
      </c>
    </row>
    <row r="55" spans="2:17" ht="12.7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ht="12.7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5" ht="12.7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5" ht="12.7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5" ht="12.7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5" ht="12.7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5" ht="12.7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5" ht="12.7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5" ht="12.75">
      <c r="B63" s="80">
        <v>1998.916664700003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5" ht="13.5" thickBot="1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ht="12.7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ht="12.75">
      <c r="B66" s="80">
        <v>1999.166664600003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6" ht="12.75">
      <c r="B67" s="80">
        <v>1999.249997900003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5" ht="12.7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5" ht="12.7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5" ht="12.7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5" ht="12.7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5" ht="12.7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5" ht="12.7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5" ht="12.7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5" ht="12.7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ht="12.7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ht="12.7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ht="12.7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ht="12.7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ht="12.7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ht="12.7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ht="12.75">
      <c r="B83" s="80">
        <v>2000.583330700004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ht="12.75">
      <c r="B84" s="80">
        <v>2000.666664000004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ht="12.7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ht="12.7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ht="12.75">
      <c r="B87" s="80">
        <v>2000.916663900004</v>
      </c>
      <c r="C87" s="52">
        <v>36831</v>
      </c>
      <c r="D87" s="60">
        <v>462.1333333333333</v>
      </c>
      <c r="E87" s="60"/>
      <c r="F87" s="60">
        <v>2888.1666666666665</v>
      </c>
      <c r="G87" s="60">
        <v>9094.3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</v>
      </c>
      <c r="O87" s="7">
        <v>33289</v>
      </c>
      <c r="P87" s="1"/>
      <c r="Q87" s="1"/>
    </row>
    <row r="88" spans="2:17" ht="12.7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9038.838709677419</v>
      </c>
      <c r="H88" s="56"/>
      <c r="I88" s="56">
        <v>8079.548387096775</v>
      </c>
      <c r="J88" s="56"/>
      <c r="K88" s="56"/>
      <c r="L88" s="56"/>
      <c r="M88" s="56">
        <v>635.1290322580645</v>
      </c>
      <c r="N88" s="7">
        <v>19192.387096774193</v>
      </c>
      <c r="O88" s="7">
        <v>33289</v>
      </c>
      <c r="P88" s="1"/>
      <c r="Q88" s="1"/>
    </row>
    <row r="89" spans="2:17" ht="12.75">
      <c r="B89" s="80">
        <v>2001.0833305000042</v>
      </c>
      <c r="C89" s="52">
        <v>36892</v>
      </c>
      <c r="D89" s="62">
        <v>0</v>
      </c>
      <c r="E89" s="62"/>
      <c r="F89" s="62">
        <v>913.9032258064516</v>
      </c>
      <c r="G89" s="62">
        <v>7955.451612903225</v>
      </c>
      <c r="H89" s="62"/>
      <c r="I89" s="62">
        <v>6491.322580645161</v>
      </c>
      <c r="J89" s="62"/>
      <c r="K89" s="62"/>
      <c r="L89" s="62"/>
      <c r="M89" s="62">
        <v>927.8709677419355</v>
      </c>
      <c r="N89" s="7">
        <v>16288.548387096773</v>
      </c>
      <c r="O89" s="7">
        <v>35826</v>
      </c>
      <c r="P89" s="1"/>
      <c r="Q89" s="1"/>
    </row>
    <row r="90" spans="2:17" ht="12.7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8897.57142857143</v>
      </c>
      <c r="H90" s="62"/>
      <c r="I90" s="62">
        <v>4000.964285714286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ht="12.7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</v>
      </c>
      <c r="J91" s="62"/>
      <c r="K91" s="62"/>
      <c r="L91" s="62"/>
      <c r="M91" s="62">
        <v>4744.322580645161</v>
      </c>
      <c r="N91" s="7">
        <v>21166.67741935484</v>
      </c>
      <c r="O91" s="7">
        <v>35826</v>
      </c>
      <c r="P91" s="1"/>
      <c r="Q91" s="1"/>
    </row>
    <row r="92" spans="2:17" ht="12.7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6727.033333333334</v>
      </c>
      <c r="H92" s="62"/>
      <c r="I92" s="62">
        <v>8040.266666666666</v>
      </c>
      <c r="J92" s="62"/>
      <c r="K92" s="62"/>
      <c r="L92" s="62"/>
      <c r="M92" s="62">
        <v>752.3333333333334</v>
      </c>
      <c r="N92" s="7">
        <v>17023.833333333332</v>
      </c>
      <c r="O92" s="7">
        <v>35826</v>
      </c>
      <c r="P92" s="1"/>
      <c r="Q92" s="1"/>
    </row>
    <row r="93" spans="2:17" ht="12.7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</v>
      </c>
      <c r="H93" s="62"/>
      <c r="I93" s="62">
        <v>8030.129032258064</v>
      </c>
      <c r="J93" s="62"/>
      <c r="K93" s="62"/>
      <c r="L93" s="62"/>
      <c r="M93" s="62">
        <v>4399.548387096775</v>
      </c>
      <c r="N93" s="7">
        <v>21226.74193548387</v>
      </c>
      <c r="O93" s="7">
        <v>35826</v>
      </c>
      <c r="P93" s="1"/>
      <c r="Q93" s="1"/>
    </row>
    <row r="94" spans="2:17" ht="12.7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ht="12.7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ht="12.7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ht="12.7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ht="12.7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ht="12.7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ht="12.7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ht="12.7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ht="12.7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ht="12.7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ht="12.75">
      <c r="B104" s="80">
        <v>2002.333330000005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ht="12.7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ht="12.7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ht="12.75">
      <c r="B107" s="80">
        <v>2002.583329900005</v>
      </c>
      <c r="C107" s="52">
        <v>37438</v>
      </c>
      <c r="D107" s="62">
        <v>404.3546</v>
      </c>
      <c r="E107" s="62"/>
      <c r="F107" s="62">
        <v>4434.4839</v>
      </c>
      <c r="G107" s="62">
        <v>7269.6085</v>
      </c>
      <c r="H107" s="62">
        <v>565.2517</v>
      </c>
      <c r="I107" s="62">
        <v>9566.1613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ht="12.75">
      <c r="B108" s="80">
        <v>2002.6666632000051</v>
      </c>
      <c r="C108" s="52">
        <v>37469</v>
      </c>
      <c r="D108" s="62">
        <v>1643.6452</v>
      </c>
      <c r="E108" s="62"/>
      <c r="F108" s="62">
        <v>5445.9677</v>
      </c>
      <c r="G108" s="62">
        <v>8471.0323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73167.5964</v>
      </c>
      <c r="O108" s="7">
        <v>42735.94</v>
      </c>
      <c r="Q108" s="1"/>
    </row>
    <row r="109" spans="2:17" ht="12.75">
      <c r="B109" s="80">
        <v>2002.7499965000052</v>
      </c>
      <c r="C109" s="52">
        <v>37500</v>
      </c>
      <c r="D109" s="62">
        <v>835.2</v>
      </c>
      <c r="E109" s="62"/>
      <c r="F109" s="62">
        <v>4938.6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72821.82310000001</v>
      </c>
      <c r="O109" s="7">
        <v>42735.94</v>
      </c>
      <c r="Q109" s="1"/>
    </row>
    <row r="110" spans="2:17" ht="12.7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7220.6452</v>
      </c>
      <c r="H110" s="62">
        <v>602.1115</v>
      </c>
      <c r="I110" s="62">
        <v>9303.7742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ht="12.7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ht="12.7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4196.6452</v>
      </c>
      <c r="H112" s="62">
        <v>1257.85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ht="12.75">
      <c r="B113" s="80">
        <v>2003.0833297000054</v>
      </c>
      <c r="C113" s="52">
        <v>37622</v>
      </c>
      <c r="D113" s="62">
        <v>252.7419</v>
      </c>
      <c r="E113" s="62"/>
      <c r="F113" s="62">
        <v>1389.4516</v>
      </c>
      <c r="G113" s="62">
        <v>4547.5484</v>
      </c>
      <c r="H113" s="62">
        <v>541.586</v>
      </c>
      <c r="I113" s="62">
        <v>3103.4194</v>
      </c>
      <c r="J113" s="62"/>
      <c r="K113" s="62"/>
      <c r="L113" s="62"/>
      <c r="M113" s="62">
        <v>13057.7419</v>
      </c>
      <c r="N113" s="62">
        <v>22892.4892</v>
      </c>
      <c r="O113" s="7">
        <v>50638.411658</v>
      </c>
      <c r="Q113" s="1"/>
    </row>
    <row r="114" spans="2:15" ht="12.75">
      <c r="B114" s="80">
        <v>2003.1666630000054</v>
      </c>
      <c r="C114" s="53">
        <v>37653</v>
      </c>
      <c r="D114" s="69">
        <v>233.32</v>
      </c>
      <c r="E114" s="70"/>
      <c r="F114" s="70">
        <v>1092.89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50638.411658</v>
      </c>
    </row>
    <row r="115" spans="2:15" ht="12.75">
      <c r="B115" s="80">
        <v>2003.2499963000055</v>
      </c>
      <c r="C115" s="52">
        <v>37681</v>
      </c>
      <c r="D115" s="56">
        <v>298.4839</v>
      </c>
      <c r="E115" s="56"/>
      <c r="F115" s="56">
        <v>1294.8387</v>
      </c>
      <c r="G115" s="56">
        <v>6027.1613</v>
      </c>
      <c r="H115" s="56">
        <v>583.4361</v>
      </c>
      <c r="I115" s="56">
        <v>5056.129</v>
      </c>
      <c r="J115" s="56"/>
      <c r="K115" s="56"/>
      <c r="L115" s="56"/>
      <c r="M115" s="56">
        <v>22899.4194</v>
      </c>
      <c r="N115" s="72">
        <v>36159.4684</v>
      </c>
      <c r="O115" s="56">
        <v>50638.411658</v>
      </c>
    </row>
    <row r="116" spans="2:15" ht="12.7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</v>
      </c>
      <c r="H116" s="56">
        <v>2528.5887</v>
      </c>
      <c r="I116" s="56">
        <v>2442.6667</v>
      </c>
      <c r="J116" s="56"/>
      <c r="K116" s="56"/>
      <c r="L116" s="56"/>
      <c r="M116" s="56">
        <v>15314.8333</v>
      </c>
      <c r="N116" s="72">
        <v>28228.355300000003</v>
      </c>
      <c r="O116" s="56">
        <v>50638.411658</v>
      </c>
    </row>
    <row r="117" spans="2:15" ht="12.7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34677.09</v>
      </c>
      <c r="N117" s="72">
        <v>50697.63</v>
      </c>
      <c r="O117" s="56">
        <v>50638.411658</v>
      </c>
    </row>
    <row r="118" spans="2:15" ht="12.7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</v>
      </c>
      <c r="J118" s="7"/>
      <c r="K118" s="7"/>
      <c r="L118" s="7"/>
      <c r="M118" s="7">
        <v>40502.8</v>
      </c>
      <c r="N118" s="72">
        <v>66421.34</v>
      </c>
      <c r="O118" s="56">
        <v>50638.411658</v>
      </c>
    </row>
    <row r="119" spans="2:15" ht="12.7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50638.411658</v>
      </c>
    </row>
    <row r="120" spans="2:15" ht="12.7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8812.13</v>
      </c>
      <c r="H120" s="73">
        <v>437.87</v>
      </c>
      <c r="I120" s="73">
        <v>18219.65</v>
      </c>
      <c r="J120" s="73"/>
      <c r="K120" s="73"/>
      <c r="L120" s="73"/>
      <c r="M120" s="73">
        <v>14265.52</v>
      </c>
      <c r="N120" s="72">
        <v>49318.27</v>
      </c>
      <c r="O120" s="56">
        <v>50638.411658</v>
      </c>
    </row>
    <row r="121" spans="2:15" ht="12.7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9039.13</v>
      </c>
      <c r="H121" s="73">
        <v>588.45</v>
      </c>
      <c r="I121" s="73">
        <v>17559.6</v>
      </c>
      <c r="J121" s="73"/>
      <c r="K121" s="73"/>
      <c r="L121" s="73"/>
      <c r="M121" s="56">
        <v>24638.03</v>
      </c>
      <c r="N121" s="72">
        <v>59640.58</v>
      </c>
      <c r="O121" s="56">
        <v>50638.411658</v>
      </c>
    </row>
    <row r="122" spans="2:15" ht="12.75">
      <c r="B122" s="80">
        <v>2003.8333294000058</v>
      </c>
      <c r="C122" s="52">
        <v>37895</v>
      </c>
      <c r="D122" s="60">
        <v>801.4839</v>
      </c>
      <c r="E122" s="60"/>
      <c r="F122" s="60">
        <v>6387.3871</v>
      </c>
      <c r="G122" s="56">
        <v>8954.3871</v>
      </c>
      <c r="H122" s="56">
        <v>4520.5827</v>
      </c>
      <c r="I122" s="56">
        <v>16112.0968</v>
      </c>
      <c r="J122" s="56"/>
      <c r="K122" s="56"/>
      <c r="L122" s="56"/>
      <c r="M122" s="56">
        <v>41209.4242</v>
      </c>
      <c r="N122" s="72">
        <v>77985.3618</v>
      </c>
      <c r="O122" s="56">
        <v>50638.411658</v>
      </c>
    </row>
    <row r="123" spans="2:15" ht="12.75">
      <c r="B123" s="80">
        <v>2003.9166627000059</v>
      </c>
      <c r="C123" s="52">
        <v>37926</v>
      </c>
      <c r="D123" s="60">
        <v>996.9</v>
      </c>
      <c r="E123" s="60"/>
      <c r="F123" s="60">
        <v>5661.0333</v>
      </c>
      <c r="G123" s="56">
        <v>8588.1333</v>
      </c>
      <c r="H123" s="56">
        <v>3719.0869</v>
      </c>
      <c r="I123" s="56">
        <v>16759.8667</v>
      </c>
      <c r="J123" s="56"/>
      <c r="K123" s="56"/>
      <c r="L123" s="56"/>
      <c r="M123" s="56">
        <v>41253.6333</v>
      </c>
      <c r="N123" s="72">
        <v>76978.6535</v>
      </c>
      <c r="O123" s="56">
        <v>50638.411658</v>
      </c>
    </row>
    <row r="124" spans="2:15" ht="12.75">
      <c r="B124" s="80">
        <v>2003.999996000006</v>
      </c>
      <c r="C124" s="52">
        <v>37956</v>
      </c>
      <c r="D124" s="60">
        <v>992.129</v>
      </c>
      <c r="E124" s="60"/>
      <c r="F124" s="60">
        <v>1769.6129</v>
      </c>
      <c r="G124" s="56">
        <v>5616.5806</v>
      </c>
      <c r="H124" s="56">
        <v>1908.4239</v>
      </c>
      <c r="I124" s="56">
        <v>4543.9032</v>
      </c>
      <c r="J124" s="56"/>
      <c r="K124" s="56"/>
      <c r="L124" s="56"/>
      <c r="M124" s="56">
        <v>29710.5126</v>
      </c>
      <c r="N124" s="72">
        <v>44541.1622</v>
      </c>
      <c r="O124" s="56">
        <v>50638.411658</v>
      </c>
    </row>
    <row r="125" spans="2:15" ht="12.75">
      <c r="B125" s="80">
        <v>2004.083329300006</v>
      </c>
      <c r="C125" s="52">
        <v>37987</v>
      </c>
      <c r="D125" s="60">
        <v>975.4194</v>
      </c>
      <c r="E125" s="60"/>
      <c r="F125" s="60">
        <v>5461.6452</v>
      </c>
      <c r="G125" s="56">
        <v>7158.5161</v>
      </c>
      <c r="H125" s="56">
        <v>603.5106</v>
      </c>
      <c r="I125" s="56">
        <v>10700.0968</v>
      </c>
      <c r="J125" s="56"/>
      <c r="K125" s="56"/>
      <c r="L125" s="56"/>
      <c r="M125" s="56">
        <v>19328.9994</v>
      </c>
      <c r="N125" s="72">
        <v>44228.1875</v>
      </c>
      <c r="O125" s="7">
        <v>82939</v>
      </c>
    </row>
    <row r="126" spans="2:15" ht="12.75">
      <c r="B126" s="80">
        <v>2004.166662600006</v>
      </c>
      <c r="C126" s="52">
        <v>38018</v>
      </c>
      <c r="D126" s="60">
        <v>1043.4138</v>
      </c>
      <c r="E126" s="60"/>
      <c r="F126" s="60">
        <v>3674.0345</v>
      </c>
      <c r="G126" s="60">
        <v>7074.3448</v>
      </c>
      <c r="H126" s="60">
        <v>199.786</v>
      </c>
      <c r="I126" s="60">
        <v>7132.9655</v>
      </c>
      <c r="J126" s="60"/>
      <c r="K126" s="60"/>
      <c r="L126" s="60"/>
      <c r="M126" s="60">
        <v>14963.3103</v>
      </c>
      <c r="N126" s="72">
        <v>34087.8549</v>
      </c>
      <c r="O126" s="7">
        <v>82939</v>
      </c>
    </row>
    <row r="127" spans="2:15" ht="12.75">
      <c r="B127" s="80">
        <v>2004.249995900006</v>
      </c>
      <c r="C127" s="52">
        <v>38047</v>
      </c>
      <c r="D127" s="60">
        <v>994.3225806451613</v>
      </c>
      <c r="E127" s="60"/>
      <c r="F127" s="60">
        <v>2840.451612903226</v>
      </c>
      <c r="G127" s="60">
        <v>5957.677419354839</v>
      </c>
      <c r="H127" s="60">
        <v>194.4539</v>
      </c>
      <c r="I127" s="60">
        <v>5089.0968</v>
      </c>
      <c r="J127" s="60"/>
      <c r="K127" s="60"/>
      <c r="L127" s="60"/>
      <c r="M127" s="60">
        <v>28174.2542</v>
      </c>
      <c r="N127" s="61">
        <v>43250.2604</v>
      </c>
      <c r="O127" s="7">
        <v>82939</v>
      </c>
    </row>
    <row r="128" spans="2:15" ht="12.7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7327.733333333334</v>
      </c>
      <c r="H128" s="60">
        <v>4798.463593333333</v>
      </c>
      <c r="I128" s="60">
        <v>7992.633333333333</v>
      </c>
      <c r="J128" s="60"/>
      <c r="K128" s="60"/>
      <c r="L128" s="60"/>
      <c r="M128" s="60">
        <v>37862.03333333333</v>
      </c>
      <c r="N128" s="7">
        <v>62429.63026</v>
      </c>
      <c r="O128" s="7">
        <v>82939</v>
      </c>
    </row>
    <row r="129" spans="2:15" ht="12.7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4157.548387096775</v>
      </c>
      <c r="G129" s="60">
        <v>9791.90322580645</v>
      </c>
      <c r="H129" s="60">
        <v>4748.76064516129</v>
      </c>
      <c r="I129" s="60">
        <v>17708.58064516129</v>
      </c>
      <c r="J129" s="60"/>
      <c r="K129" s="60"/>
      <c r="L129" s="60"/>
      <c r="M129" s="60">
        <v>46036.12903225807</v>
      </c>
      <c r="N129" s="7">
        <v>84792.18</v>
      </c>
      <c r="O129" s="7">
        <v>82939</v>
      </c>
    </row>
    <row r="130" spans="2:15" ht="12.7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</v>
      </c>
      <c r="G130" s="60">
        <v>10218.933333333332</v>
      </c>
      <c r="H130" s="60">
        <v>4254.398943333333</v>
      </c>
      <c r="I130" s="60">
        <v>16231.166666666666</v>
      </c>
      <c r="J130" s="60">
        <v>16994.92797</v>
      </c>
      <c r="K130" s="60"/>
      <c r="L130" s="60"/>
      <c r="M130" s="60">
        <v>41499.13333333333</v>
      </c>
      <c r="N130" s="7">
        <v>97444.76024666666</v>
      </c>
      <c r="O130" s="7">
        <v>82939</v>
      </c>
    </row>
    <row r="131" spans="2:15" ht="12.7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</v>
      </c>
      <c r="H131" s="60">
        <v>1644.9595290322582</v>
      </c>
      <c r="I131" s="60">
        <v>17946.709677419356</v>
      </c>
      <c r="J131" s="60">
        <v>8845.911287096775</v>
      </c>
      <c r="K131" s="60"/>
      <c r="L131" s="60"/>
      <c r="M131" s="60">
        <v>44777.67741935484</v>
      </c>
      <c r="N131" s="7">
        <v>91913.06436451613</v>
      </c>
      <c r="O131" s="7">
        <v>82939</v>
      </c>
    </row>
    <row r="132" spans="2:15" ht="12.75">
      <c r="B132" s="80">
        <v>2004.6666624000063</v>
      </c>
      <c r="C132" s="52">
        <v>38200</v>
      </c>
      <c r="D132" s="60">
        <v>2850.967741935484</v>
      </c>
      <c r="E132" s="60"/>
      <c r="F132" s="60">
        <v>6062.451612903225</v>
      </c>
      <c r="G132" s="60">
        <v>9516.612903225807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45766.83870967742</v>
      </c>
      <c r="N132" s="7">
        <v>92266.27178709678</v>
      </c>
      <c r="O132" s="7">
        <v>82939</v>
      </c>
    </row>
    <row r="133" spans="2:15" ht="12.75">
      <c r="B133" s="80">
        <v>2004.7499957000064</v>
      </c>
      <c r="C133" s="52">
        <v>38231</v>
      </c>
      <c r="D133" s="60">
        <v>2986.733333333333</v>
      </c>
      <c r="E133" s="60"/>
      <c r="F133" s="60">
        <v>6162.233333333334</v>
      </c>
      <c r="G133" s="60">
        <v>10056.233333333334</v>
      </c>
      <c r="H133" s="60">
        <v>150.4631666666667</v>
      </c>
      <c r="I133" s="60">
        <v>17030.233333333334</v>
      </c>
      <c r="J133" s="60">
        <v>40918.23638333334</v>
      </c>
      <c r="K133" s="60"/>
      <c r="L133" s="60"/>
      <c r="M133" s="60">
        <v>45198.4</v>
      </c>
      <c r="N133" s="7">
        <v>122502.53288333333</v>
      </c>
      <c r="O133" s="7">
        <v>82939</v>
      </c>
    </row>
    <row r="134" spans="2:15" ht="12.7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5" ht="12.7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5" ht="12.7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</v>
      </c>
      <c r="H136" s="60">
        <v>3693.29594516129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</v>
      </c>
      <c r="O136" s="7">
        <v>82939</v>
      </c>
    </row>
    <row r="137" spans="2:15" ht="12.7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</v>
      </c>
      <c r="G137" s="60">
        <v>7065.064516129032</v>
      </c>
      <c r="H137" s="60">
        <v>533.0414483870967</v>
      </c>
      <c r="I137" s="60">
        <v>70.45161290322581</v>
      </c>
      <c r="J137" s="60">
        <v>53509.4698</v>
      </c>
      <c r="K137" s="60"/>
      <c r="L137" s="60"/>
      <c r="M137" s="60">
        <v>35513.967741935485</v>
      </c>
      <c r="N137" s="7">
        <v>100192.83382903226</v>
      </c>
      <c r="O137" s="7">
        <v>146156.526</v>
      </c>
    </row>
    <row r="138" spans="2:15" ht="12.75">
      <c r="B138" s="80">
        <v>2005.1666622000066</v>
      </c>
      <c r="C138" s="52">
        <v>38384</v>
      </c>
      <c r="D138" s="60">
        <v>0</v>
      </c>
      <c r="E138" s="60"/>
      <c r="F138" s="60">
        <v>512.5357142857143</v>
      </c>
      <c r="G138" s="60">
        <v>7549.178571428572</v>
      </c>
      <c r="H138" s="60">
        <v>244.90881428571427</v>
      </c>
      <c r="I138" s="60">
        <v>0</v>
      </c>
      <c r="J138" s="60">
        <v>44031.44440714286</v>
      </c>
      <c r="K138" s="60"/>
      <c r="L138" s="60"/>
      <c r="M138" s="60">
        <v>35884.607142857145</v>
      </c>
      <c r="N138" s="7">
        <v>88222.67465</v>
      </c>
      <c r="O138" s="7">
        <v>146156.526</v>
      </c>
    </row>
    <row r="139" spans="2:15" ht="12.7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</v>
      </c>
      <c r="G139" s="60">
        <v>6464.5161290322585</v>
      </c>
      <c r="H139" s="60">
        <v>260.9451741935484</v>
      </c>
      <c r="I139" s="60">
        <v>0</v>
      </c>
      <c r="J139" s="60">
        <v>49118.82185806452</v>
      </c>
      <c r="K139" s="60"/>
      <c r="L139" s="60"/>
      <c r="M139" s="60">
        <v>38338.22580645161</v>
      </c>
      <c r="N139" s="7">
        <v>96672.34767741937</v>
      </c>
      <c r="O139" s="7">
        <v>146156.526</v>
      </c>
    </row>
    <row r="140" spans="2:15" ht="12.75">
      <c r="B140" s="80">
        <v>2005.3333288000067</v>
      </c>
      <c r="C140" s="52">
        <v>38443</v>
      </c>
      <c r="D140" s="74">
        <v>2416.2</v>
      </c>
      <c r="E140" s="60"/>
      <c r="F140" s="60">
        <v>1014.4</v>
      </c>
      <c r="G140" s="61">
        <v>5698.7667</v>
      </c>
      <c r="H140" s="61">
        <v>1497.1073</v>
      </c>
      <c r="I140" s="61">
        <v>0</v>
      </c>
      <c r="J140" s="61">
        <v>52140.2079</v>
      </c>
      <c r="K140" s="61"/>
      <c r="L140" s="61"/>
      <c r="M140" s="61">
        <v>39113.9</v>
      </c>
      <c r="N140" s="56">
        <v>101880.5819</v>
      </c>
      <c r="O140" s="7">
        <v>146156.526</v>
      </c>
    </row>
    <row r="141" spans="2:15" ht="12.7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</v>
      </c>
      <c r="K141" s="7"/>
      <c r="L141" s="7"/>
      <c r="M141" s="7">
        <v>43508.19</v>
      </c>
      <c r="N141" s="56">
        <v>151397.71</v>
      </c>
      <c r="O141" s="7">
        <v>146156.526</v>
      </c>
    </row>
    <row r="142" spans="2:15" ht="12.75">
      <c r="B142" s="80">
        <v>2005.4999954000068</v>
      </c>
      <c r="C142" s="52">
        <v>38504</v>
      </c>
      <c r="D142" s="60">
        <v>3024.3667</v>
      </c>
      <c r="E142" s="20"/>
      <c r="F142" s="62">
        <v>5211.8667</v>
      </c>
      <c r="G142" s="7">
        <v>11226.6667</v>
      </c>
      <c r="H142" s="67">
        <v>2693.1374</v>
      </c>
      <c r="I142" s="67">
        <v>14010.2333</v>
      </c>
      <c r="J142" s="67">
        <v>94232.9512</v>
      </c>
      <c r="K142" s="67"/>
      <c r="L142" s="67"/>
      <c r="M142" s="67">
        <v>45058.2667</v>
      </c>
      <c r="N142" s="56">
        <v>175457.4887</v>
      </c>
      <c r="O142" s="7">
        <v>146156.526</v>
      </c>
    </row>
    <row r="143" spans="2:16" ht="12.7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46065.7097</v>
      </c>
      <c r="N143" s="56">
        <v>185273.99970000001</v>
      </c>
      <c r="O143" s="7">
        <v>146156.526</v>
      </c>
      <c r="P143" t="s">
        <v>47</v>
      </c>
    </row>
    <row r="144" spans="2:15" ht="12.75">
      <c r="B144" s="80">
        <v>2005.666662000007</v>
      </c>
      <c r="C144" s="52">
        <v>38565</v>
      </c>
      <c r="D144" s="60">
        <v>3116.6452</v>
      </c>
      <c r="E144" s="75"/>
      <c r="F144" s="60">
        <v>4847.4194</v>
      </c>
      <c r="G144" s="75">
        <v>12450.8065</v>
      </c>
      <c r="H144" s="60">
        <v>405.0465</v>
      </c>
      <c r="I144" s="60">
        <v>17158.9677</v>
      </c>
      <c r="J144" s="60">
        <v>97782.3776</v>
      </c>
      <c r="K144" s="60"/>
      <c r="L144" s="60"/>
      <c r="M144" s="60">
        <v>42929.8065</v>
      </c>
      <c r="N144" s="56">
        <v>178691.0694</v>
      </c>
      <c r="O144" s="7">
        <v>146156.526</v>
      </c>
    </row>
    <row r="145" spans="2:15" ht="12.7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159.4525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</v>
      </c>
      <c r="O145" s="7">
        <v>146156.526</v>
      </c>
    </row>
    <row r="146" spans="2:15" ht="12.75">
      <c r="B146" s="80">
        <v>2005.833328600007</v>
      </c>
      <c r="C146" s="52">
        <v>38626</v>
      </c>
      <c r="D146" s="60">
        <v>2999.1935</v>
      </c>
      <c r="E146" s="20"/>
      <c r="F146" s="60">
        <v>4129.6129</v>
      </c>
      <c r="G146" s="7">
        <v>12750.2903</v>
      </c>
      <c r="H146" s="60">
        <v>260.9885</v>
      </c>
      <c r="I146" s="7">
        <v>14781.9032</v>
      </c>
      <c r="J146" s="7">
        <v>55192.7429</v>
      </c>
      <c r="K146" s="7"/>
      <c r="L146" s="7"/>
      <c r="M146" s="7">
        <v>43950.129</v>
      </c>
      <c r="N146" s="56">
        <v>134064.8603</v>
      </c>
      <c r="O146" s="7">
        <v>146156.526</v>
      </c>
    </row>
    <row r="147" spans="2:15" ht="12.75">
      <c r="B147" s="80">
        <v>2005.916661900007</v>
      </c>
      <c r="C147" s="52">
        <v>38657</v>
      </c>
      <c r="D147" s="76">
        <v>3039.9333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44811.9333</v>
      </c>
      <c r="N147" s="56">
        <v>184670.0474</v>
      </c>
      <c r="O147" s="7">
        <v>146156.526</v>
      </c>
    </row>
    <row r="148" spans="2:15" ht="12.75">
      <c r="B148" s="80">
        <v>2005.999995200007</v>
      </c>
      <c r="C148" s="52">
        <v>38687</v>
      </c>
      <c r="D148" s="76">
        <v>2979.4839</v>
      </c>
      <c r="E148" s="20"/>
      <c r="F148" s="60">
        <v>2287.0645</v>
      </c>
      <c r="G148" s="7">
        <v>11221.3226</v>
      </c>
      <c r="H148" s="60">
        <v>1719.2041</v>
      </c>
      <c r="I148" s="7">
        <v>10614.5161</v>
      </c>
      <c r="J148" s="7">
        <v>97797.6329</v>
      </c>
      <c r="K148" s="7"/>
      <c r="L148" s="7"/>
      <c r="M148" s="7">
        <v>39028.6774</v>
      </c>
      <c r="N148" s="56">
        <v>165647.90149999998</v>
      </c>
      <c r="O148" s="7">
        <v>146156.526</v>
      </c>
    </row>
    <row r="149" spans="2:15" ht="12.7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</v>
      </c>
      <c r="H149" s="60">
        <v>935.7484</v>
      </c>
      <c r="I149" s="7">
        <v>9579.81</v>
      </c>
      <c r="J149" s="7">
        <v>67124.0899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ht="12.75">
      <c r="B150" s="80">
        <v>2006.1666618000072</v>
      </c>
      <c r="C150" s="52">
        <v>38749</v>
      </c>
      <c r="D150" s="76">
        <v>1454.6786</v>
      </c>
      <c r="E150" s="20"/>
      <c r="F150" s="60">
        <v>224.7143</v>
      </c>
      <c r="G150" s="7">
        <v>6970.5357</v>
      </c>
      <c r="H150" s="60">
        <v>1065.5233</v>
      </c>
      <c r="I150" s="7">
        <v>7683.6601</v>
      </c>
      <c r="J150" s="7">
        <v>80713.0303</v>
      </c>
      <c r="K150" s="7"/>
      <c r="L150" s="7"/>
      <c r="M150" s="7">
        <v>35695.75</v>
      </c>
      <c r="N150" s="7">
        <v>133807.8923</v>
      </c>
      <c r="O150" s="7">
        <v>171756.4713</v>
      </c>
      <c r="P150" s="4"/>
      <c r="Q150" s="4"/>
    </row>
    <row r="151" spans="2:16" ht="12.75">
      <c r="B151" s="80">
        <v>2006.2499951000073</v>
      </c>
      <c r="C151" s="52">
        <v>38777</v>
      </c>
      <c r="D151" s="78">
        <v>2411.9032</v>
      </c>
      <c r="E151" s="59"/>
      <c r="F151" s="78">
        <v>383.5161</v>
      </c>
      <c r="G151" s="7">
        <v>6212.6129</v>
      </c>
      <c r="H151" s="7">
        <v>1222.183</v>
      </c>
      <c r="I151" s="7">
        <v>5749.5811</v>
      </c>
      <c r="J151" s="7">
        <v>45588.4902</v>
      </c>
      <c r="K151" s="7"/>
      <c r="L151" s="7"/>
      <c r="M151" s="7">
        <v>25149.1613</v>
      </c>
      <c r="N151" s="7">
        <v>86717.4478</v>
      </c>
      <c r="O151" s="7">
        <v>171756.4713</v>
      </c>
      <c r="P151" s="4"/>
    </row>
    <row r="152" spans="2:15" ht="12.75">
      <c r="B152" s="80">
        <v>2006.3333284000073</v>
      </c>
      <c r="C152" s="52">
        <v>38808</v>
      </c>
      <c r="D152" s="78">
        <v>3153.4667</v>
      </c>
      <c r="E152" s="77"/>
      <c r="F152" s="78">
        <v>2487.533</v>
      </c>
      <c r="G152" s="7">
        <v>8624.7</v>
      </c>
      <c r="H152" s="7">
        <v>805.4183</v>
      </c>
      <c r="I152" s="7">
        <v>9669.7292</v>
      </c>
      <c r="J152" s="7">
        <v>46294.2809</v>
      </c>
      <c r="K152" s="7"/>
      <c r="L152" s="7"/>
      <c r="M152" s="7">
        <v>15092.1333</v>
      </c>
      <c r="N152" s="7">
        <v>86127.2614</v>
      </c>
      <c r="O152" s="7">
        <v>171756.4713</v>
      </c>
    </row>
    <row r="153" spans="2:15" ht="12.75">
      <c r="B153" s="80">
        <v>2006.4166617000074</v>
      </c>
      <c r="C153" s="52">
        <v>38838</v>
      </c>
      <c r="D153" s="78">
        <v>3054.6129</v>
      </c>
      <c r="E153" s="77"/>
      <c r="F153" s="62">
        <v>3489.8387</v>
      </c>
      <c r="G153" s="7">
        <v>11229.9031</v>
      </c>
      <c r="H153" s="7">
        <v>1132.1512</v>
      </c>
      <c r="I153" s="7">
        <v>17982.7207</v>
      </c>
      <c r="J153" s="7">
        <v>80763.2647</v>
      </c>
      <c r="K153" s="7"/>
      <c r="L153" s="7"/>
      <c r="M153" s="7">
        <v>27033.8065</v>
      </c>
      <c r="N153" s="7">
        <v>144686.2978</v>
      </c>
      <c r="O153" s="7">
        <v>171756.4713</v>
      </c>
    </row>
    <row r="154" spans="2:15" ht="12.75">
      <c r="B154" s="80">
        <v>2006.4999950000074</v>
      </c>
      <c r="C154" s="52">
        <v>38869</v>
      </c>
      <c r="D154" s="78">
        <v>2919.0667</v>
      </c>
      <c r="E154" s="78"/>
      <c r="F154" s="78">
        <v>3639.6333</v>
      </c>
      <c r="G154" s="78">
        <v>11032.833</v>
      </c>
      <c r="H154" s="7">
        <v>4903.4461</v>
      </c>
      <c r="I154" s="7">
        <v>19163.3245</v>
      </c>
      <c r="J154" s="7">
        <v>128877.9117</v>
      </c>
      <c r="K154" s="7"/>
      <c r="L154" s="7"/>
      <c r="M154" s="7">
        <v>47230.6</v>
      </c>
      <c r="N154" s="7">
        <v>217766.8153</v>
      </c>
      <c r="O154" s="7">
        <v>171756.4713</v>
      </c>
    </row>
    <row r="155" spans="2:15" ht="12.75">
      <c r="B155" s="80">
        <v>2006.5833283000075</v>
      </c>
      <c r="C155" s="52">
        <v>38899</v>
      </c>
      <c r="D155" s="60">
        <v>2841.2581</v>
      </c>
      <c r="E155" s="79"/>
      <c r="F155" s="60">
        <v>3543.5806</v>
      </c>
      <c r="G155" s="56">
        <v>12205.7742</v>
      </c>
      <c r="H155" s="7">
        <v>995.2788</v>
      </c>
      <c r="I155" s="7">
        <v>19000</v>
      </c>
      <c r="J155" s="7">
        <v>133890.1164</v>
      </c>
      <c r="K155" s="7"/>
      <c r="L155" s="7"/>
      <c r="M155" s="7">
        <v>47967.0968</v>
      </c>
      <c r="N155" s="7">
        <v>220443.1049</v>
      </c>
      <c r="O155" s="7">
        <v>171756.4713</v>
      </c>
    </row>
    <row r="156" spans="2:15" ht="12.75">
      <c r="B156" s="80">
        <v>2006.6666616000075</v>
      </c>
      <c r="C156" s="52">
        <v>38930</v>
      </c>
      <c r="D156" s="60">
        <v>2865.9032</v>
      </c>
      <c r="E156" s="79"/>
      <c r="F156" s="60">
        <v>3443.2903</v>
      </c>
      <c r="G156" s="56">
        <v>11723.6129</v>
      </c>
      <c r="H156" s="7">
        <v>1013.5247</v>
      </c>
      <c r="I156" s="56">
        <v>18601.8025</v>
      </c>
      <c r="J156" s="7">
        <v>144152.0503</v>
      </c>
      <c r="K156" s="7"/>
      <c r="L156" s="7"/>
      <c r="M156" s="7">
        <v>45424.6129</v>
      </c>
      <c r="N156" s="7">
        <v>227224.7968</v>
      </c>
      <c r="O156" s="7">
        <v>171756.4713</v>
      </c>
    </row>
    <row r="157" spans="2:15" ht="12.7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19017.11636666667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5" ht="12.75">
      <c r="B158" s="80">
        <v>2006.8333282000076</v>
      </c>
      <c r="C158" s="52">
        <v>38991</v>
      </c>
      <c r="D158" s="60">
        <v>3047.6129</v>
      </c>
      <c r="E158" s="77"/>
      <c r="F158" s="62">
        <v>3505.3871</v>
      </c>
      <c r="G158" s="7">
        <v>11826.4516</v>
      </c>
      <c r="H158" s="7">
        <v>366.7982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210841.142</v>
      </c>
      <c r="O158" s="7">
        <v>171756.4713</v>
      </c>
    </row>
    <row r="159" spans="2:15" ht="12.75">
      <c r="B159" s="80">
        <v>2006.9166615000076</v>
      </c>
      <c r="C159" s="52">
        <v>39022</v>
      </c>
      <c r="D159" s="60">
        <v>2986.0667</v>
      </c>
      <c r="E159" s="77"/>
      <c r="F159" s="62">
        <v>2975.6</v>
      </c>
      <c r="G159" s="7">
        <v>11085.83</v>
      </c>
      <c r="H159" s="7">
        <v>414.2161</v>
      </c>
      <c r="I159" s="7">
        <v>15232.6971</v>
      </c>
      <c r="J159" s="7">
        <v>113735.1255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5" ht="12.75">
      <c r="B160" s="80">
        <v>2006.9999948000077</v>
      </c>
      <c r="C160" s="52">
        <v>39052</v>
      </c>
      <c r="D160" s="60">
        <v>3018.5484</v>
      </c>
      <c r="E160" s="77"/>
      <c r="F160" s="62">
        <v>2430.9032</v>
      </c>
      <c r="G160" s="7">
        <v>8284.161</v>
      </c>
      <c r="H160" s="7">
        <v>1116.2996</v>
      </c>
      <c r="I160" s="7">
        <v>10411.3586</v>
      </c>
      <c r="J160" s="7">
        <v>122334.8743</v>
      </c>
      <c r="K160" s="7"/>
      <c r="L160" s="7"/>
      <c r="M160" s="7">
        <v>36893.8065</v>
      </c>
      <c r="N160" s="7">
        <f aca="true" t="shared" si="1" ref="N160:N191">SUM(D160:M160)</f>
        <v>184489.9516</v>
      </c>
      <c r="O160" s="7">
        <v>171756.4713</v>
      </c>
    </row>
    <row r="161" spans="2:15" ht="12.75">
      <c r="B161" s="80">
        <v>2007.0833281000077</v>
      </c>
      <c r="C161" s="52">
        <v>39083</v>
      </c>
      <c r="D161" s="60">
        <v>2556.0645</v>
      </c>
      <c r="E161" s="82"/>
      <c r="F161" s="60">
        <v>2823.0323</v>
      </c>
      <c r="G161" s="82">
        <v>8295.5161</v>
      </c>
      <c r="H161" s="82">
        <v>1036.4909</v>
      </c>
      <c r="I161" s="82">
        <v>11182.7393</v>
      </c>
      <c r="J161" s="82">
        <v>136565.1869</v>
      </c>
      <c r="K161" s="82"/>
      <c r="L161" s="82"/>
      <c r="M161" s="82">
        <v>21357.8065</v>
      </c>
      <c r="N161" s="83">
        <f t="shared" si="1"/>
        <v>183816.8365</v>
      </c>
      <c r="O161" s="60">
        <v>258864.3865</v>
      </c>
    </row>
    <row r="162" spans="2:15" ht="12.75">
      <c r="B162" s="80">
        <v>2007.1666614000078</v>
      </c>
      <c r="C162" s="52">
        <v>39114</v>
      </c>
      <c r="D162" s="74">
        <v>3761.6429</v>
      </c>
      <c r="E162" s="82"/>
      <c r="F162" s="74">
        <v>2972.5714</v>
      </c>
      <c r="G162" s="82">
        <v>8535.0357</v>
      </c>
      <c r="H162" s="82">
        <v>886.0582</v>
      </c>
      <c r="I162" s="82">
        <v>12902.5799</v>
      </c>
      <c r="J162" s="82">
        <v>137099.5057</v>
      </c>
      <c r="K162" s="82"/>
      <c r="L162" s="82"/>
      <c r="M162" s="82">
        <v>26480.7857</v>
      </c>
      <c r="N162" s="82">
        <f t="shared" si="1"/>
        <v>192638.17950000003</v>
      </c>
      <c r="O162" s="60">
        <f aca="true" t="shared" si="2" ref="O162:O172">+O161</f>
        <v>258864.3865</v>
      </c>
    </row>
    <row r="163" spans="2:15" ht="12.75">
      <c r="B163" s="80">
        <v>2007.2499947000078</v>
      </c>
      <c r="C163" s="52">
        <v>39142</v>
      </c>
      <c r="D163" s="74">
        <v>3590.129</v>
      </c>
      <c r="E163" s="82"/>
      <c r="F163" s="74">
        <v>2758.6452</v>
      </c>
      <c r="G163" s="84">
        <v>9131.4194</v>
      </c>
      <c r="H163" s="82">
        <v>1185.3715</v>
      </c>
      <c r="I163" s="84">
        <v>11947.1198</v>
      </c>
      <c r="J163" s="82">
        <v>145014.1049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258864.3865</v>
      </c>
    </row>
    <row r="164" spans="2:15" ht="12.75">
      <c r="B164" s="80">
        <v>2007.333328000008</v>
      </c>
      <c r="C164" s="52">
        <v>39173</v>
      </c>
      <c r="D164" s="74">
        <v>2768.5</v>
      </c>
      <c r="E164" s="82"/>
      <c r="F164" s="74">
        <v>1395.4667</v>
      </c>
      <c r="G164" s="82">
        <v>7583.3667</v>
      </c>
      <c r="H164" s="82">
        <v>1592.4337</v>
      </c>
      <c r="I164" s="82">
        <v>7499.0617</v>
      </c>
      <c r="J164" s="82">
        <v>144063.0513</v>
      </c>
      <c r="K164" s="82"/>
      <c r="L164" s="82"/>
      <c r="M164" s="82">
        <v>35601.833</v>
      </c>
      <c r="N164" s="82">
        <f t="shared" si="1"/>
        <v>200503.7131</v>
      </c>
      <c r="O164" s="60">
        <f t="shared" si="2"/>
        <v>258864.3865</v>
      </c>
    </row>
    <row r="165" spans="2:15" ht="12.75">
      <c r="B165" s="80">
        <v>2007.416661300008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2294.980793548387</v>
      </c>
      <c r="I165" s="82">
        <f>219266.728/31</f>
        <v>7073.120258064516</v>
      </c>
      <c r="J165" s="82">
        <f>4965877.6319/31</f>
        <v>160189.60102903226</v>
      </c>
      <c r="K165" s="82"/>
      <c r="L165" s="82"/>
      <c r="M165" s="82">
        <f>1273124/31</f>
        <v>41068.51612903226</v>
      </c>
      <c r="N165" s="82">
        <f t="shared" si="1"/>
        <v>219167.41175806453</v>
      </c>
      <c r="O165" s="60">
        <f t="shared" si="2"/>
        <v>258864.3865</v>
      </c>
    </row>
    <row r="166" spans="2:15" ht="12.75">
      <c r="B166" s="80">
        <v>2007.499994600008</v>
      </c>
      <c r="C166" s="52">
        <v>39234</v>
      </c>
      <c r="D166" s="74">
        <f>131622/30</f>
        <v>4387.4</v>
      </c>
      <c r="E166" s="74"/>
      <c r="F166" s="74">
        <f>33402/30</f>
        <v>1113.4</v>
      </c>
      <c r="G166" s="74">
        <f>324439/30</f>
        <v>10814.633333333333</v>
      </c>
      <c r="H166" s="74">
        <f>127634.9212/30</f>
        <v>4254.497373333334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</v>
      </c>
      <c r="N166" s="82">
        <f t="shared" si="1"/>
        <v>277739.0674</v>
      </c>
      <c r="O166" s="60">
        <f t="shared" si="2"/>
        <v>258864.3865</v>
      </c>
    </row>
    <row r="167" spans="2:15" ht="12.75">
      <c r="B167" s="80">
        <v>2007.583327900008</v>
      </c>
      <c r="C167" s="52">
        <v>39264</v>
      </c>
      <c r="D167" s="74">
        <f>148652/31</f>
        <v>4795.225806451613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</v>
      </c>
      <c r="O167" s="60">
        <f t="shared" si="2"/>
        <v>258864.3865</v>
      </c>
    </row>
    <row r="168" spans="2:15" ht="12.75">
      <c r="B168" s="80">
        <v>2007.666661200008</v>
      </c>
      <c r="C168" s="52">
        <v>39295</v>
      </c>
      <c r="D168" s="74">
        <f>147061/31</f>
        <v>4743.903225806452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226178.6388</v>
      </c>
      <c r="K168" s="74"/>
      <c r="L168" s="74"/>
      <c r="M168" s="74">
        <f>1382189/31</f>
        <v>44586.74193548387</v>
      </c>
      <c r="N168" s="82">
        <f t="shared" si="1"/>
        <v>308342.7639612903</v>
      </c>
      <c r="O168" s="60">
        <f t="shared" si="2"/>
        <v>258864.3865</v>
      </c>
    </row>
    <row r="169" spans="2:15" ht="12.75">
      <c r="B169" s="80">
        <v>2007.7499945000081</v>
      </c>
      <c r="C169" s="52">
        <v>39326</v>
      </c>
      <c r="D169" s="74">
        <f>141949/30</f>
        <v>4731.633333333333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</v>
      </c>
      <c r="N169" s="82">
        <f t="shared" si="1"/>
        <v>300888.47591000004</v>
      </c>
      <c r="O169" s="60">
        <f t="shared" si="2"/>
        <v>258864.3865</v>
      </c>
    </row>
    <row r="170" spans="2:15" ht="12.75">
      <c r="B170" s="80">
        <v>2007.8333278000082</v>
      </c>
      <c r="C170" s="52">
        <v>39356</v>
      </c>
      <c r="D170" s="74">
        <f>142730/31</f>
        <v>4604.193548387097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</v>
      </c>
      <c r="N170" s="82">
        <f t="shared" si="1"/>
        <v>305664.73707096773</v>
      </c>
      <c r="O170" s="60">
        <f t="shared" si="2"/>
        <v>258864.3865</v>
      </c>
    </row>
    <row r="171" spans="2:15" ht="12.75">
      <c r="B171" s="80">
        <v>2007.91666110001</v>
      </c>
      <c r="C171" s="52">
        <v>39387</v>
      </c>
      <c r="D171" s="74">
        <f>138814/30</f>
        <v>4627.133333333333</v>
      </c>
      <c r="E171" s="74"/>
      <c r="F171" s="74">
        <f>69191/30</f>
        <v>2306.366666666667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258864.3865</v>
      </c>
    </row>
    <row r="172" spans="2:15" ht="12.75">
      <c r="B172" s="80">
        <v>2007.99999440001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</v>
      </c>
      <c r="K172" s="74"/>
      <c r="L172" s="74"/>
      <c r="M172" s="74">
        <f>1102132/31</f>
        <v>35552.645161290326</v>
      </c>
      <c r="N172" s="82">
        <f t="shared" si="1"/>
        <v>294884.5441935484</v>
      </c>
      <c r="O172" s="60">
        <f t="shared" si="2"/>
        <v>258864.3865</v>
      </c>
    </row>
    <row r="173" spans="2:15" ht="12.75">
      <c r="B173" s="80">
        <v>2008.08332770001</v>
      </c>
      <c r="C173" s="52">
        <v>39448</v>
      </c>
      <c r="D173" s="74">
        <f>152320/31</f>
        <v>4913.548387096775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33406.1935483871</v>
      </c>
      <c r="N173" s="82">
        <f t="shared" si="1"/>
        <v>228311.21572580643</v>
      </c>
      <c r="O173" s="60">
        <v>327747.9703</v>
      </c>
    </row>
    <row r="174" spans="2:15" ht="12.75">
      <c r="B174" s="80">
        <v>2008.16666100001</v>
      </c>
      <c r="C174" s="52">
        <v>39479</v>
      </c>
      <c r="D174" s="74">
        <f>133366/29</f>
        <v>4598.827586206897</v>
      </c>
      <c r="E174" s="74"/>
      <c r="F174" s="74">
        <f>42077/29</f>
        <v>1450.9310344827586</v>
      </c>
      <c r="G174" s="74">
        <f>250311/29</f>
        <v>8631.413793103447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31821.44827586207</v>
      </c>
      <c r="N174" s="82">
        <f t="shared" si="1"/>
        <v>270696.65583793103</v>
      </c>
      <c r="O174" s="7">
        <f aca="true" t="shared" si="3" ref="O174:O184">+O173</f>
        <v>327747.9703</v>
      </c>
    </row>
    <row r="175" spans="2:15" ht="12.75">
      <c r="B175" s="80">
        <v>2008.24999430001</v>
      </c>
      <c r="C175" s="52">
        <v>39508</v>
      </c>
      <c r="D175" s="74">
        <f>156177/31</f>
        <v>5037.967741935484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</v>
      </c>
      <c r="O175" s="7">
        <f t="shared" si="3"/>
        <v>327747.9703</v>
      </c>
    </row>
    <row r="176" spans="2:15" ht="12.75">
      <c r="B176" s="80">
        <v>2008.33332760001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8343.033333333333</v>
      </c>
      <c r="H176" s="74">
        <f>17083.2557/30</f>
        <v>569.4418566666667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</v>
      </c>
      <c r="N176" s="60">
        <f t="shared" si="1"/>
        <v>279469.9830033333</v>
      </c>
      <c r="O176" s="7">
        <f t="shared" si="3"/>
        <v>327747.9703</v>
      </c>
    </row>
    <row r="177" spans="2:15" ht="12.75">
      <c r="B177" s="80">
        <v>2008.41666090001</v>
      </c>
      <c r="C177" s="52">
        <v>39569</v>
      </c>
      <c r="D177" s="74">
        <f>153597/31</f>
        <v>4954.741935483871</v>
      </c>
      <c r="E177" s="20"/>
      <c r="F177" s="74">
        <f>56272/31</f>
        <v>1815.225806451613</v>
      </c>
      <c r="G177" s="74">
        <f>369824/31</f>
        <v>11929.806451612903</v>
      </c>
      <c r="H177" s="74">
        <f>22280.5572/31</f>
        <v>718.7276516129032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338840.8136</v>
      </c>
      <c r="O177" s="7">
        <f t="shared" si="3"/>
        <v>327747.9703</v>
      </c>
    </row>
    <row r="178" spans="2:15" ht="12.7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2453.7</v>
      </c>
      <c r="G178" s="74">
        <f>355001/30</f>
        <v>11833.366666666667</v>
      </c>
      <c r="H178" s="74">
        <f>136817.603/30</f>
        <v>4560.586766666666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327747.9703</v>
      </c>
    </row>
    <row r="179" spans="2:15" ht="12.75">
      <c r="B179" s="80">
        <v>2008.58332750001</v>
      </c>
      <c r="C179" s="52">
        <v>39630</v>
      </c>
      <c r="D179" s="74">
        <f>155423/31</f>
        <v>5013.645161290323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</v>
      </c>
      <c r="I179" s="74">
        <f>511811/31</f>
        <v>16510.032258064515</v>
      </c>
      <c r="J179" s="74">
        <f>8900134.306/31</f>
        <v>287101.1066451613</v>
      </c>
      <c r="K179" s="74"/>
      <c r="L179" s="74"/>
      <c r="M179" s="74">
        <f>1475035/31</f>
        <v>47581.77419354839</v>
      </c>
      <c r="N179" s="60">
        <f t="shared" si="1"/>
        <v>372349.50269999995</v>
      </c>
      <c r="O179" s="7">
        <f t="shared" si="3"/>
        <v>327747.9703</v>
      </c>
    </row>
    <row r="180" spans="2:17" ht="12.75">
      <c r="B180" s="80">
        <v>2008.66666080001</v>
      </c>
      <c r="C180" s="52">
        <v>39661</v>
      </c>
      <c r="D180" s="74">
        <f>153206/31</f>
        <v>4942.129032258064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16703.27014516129</v>
      </c>
      <c r="J180" s="74">
        <f>8814468.7275/31</f>
        <v>284337.70088709675</v>
      </c>
      <c r="K180" s="74"/>
      <c r="L180" s="74"/>
      <c r="M180" s="74">
        <f>1470690/31</f>
        <v>47441.6129032258</v>
      </c>
      <c r="N180" s="60">
        <f t="shared" si="1"/>
        <v>369530.2686419355</v>
      </c>
      <c r="O180" s="7">
        <f t="shared" si="3"/>
        <v>327747.9703</v>
      </c>
      <c r="P180" s="74"/>
      <c r="Q180" s="74"/>
    </row>
    <row r="181" spans="2:17" ht="12.75">
      <c r="B181" s="80">
        <v>2008.74999410001</v>
      </c>
      <c r="C181" s="52">
        <v>39692</v>
      </c>
      <c r="D181" s="74">
        <f>147784/30</f>
        <v>4926.133333333333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265.44084</v>
      </c>
      <c r="I181" s="74">
        <f>583693.0914/30</f>
        <v>19456.436380000003</v>
      </c>
      <c r="J181" s="74">
        <f>8612759.2842/30</f>
        <v>287091.97614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327747.9703</v>
      </c>
      <c r="P181" s="74"/>
      <c r="Q181" s="74"/>
    </row>
    <row r="182" spans="2:17" ht="12.75">
      <c r="B182" s="80">
        <v>2008.83332740001</v>
      </c>
      <c r="C182" s="52">
        <v>39722</v>
      </c>
      <c r="D182" s="60">
        <f>139858/31</f>
        <v>4511.548387096775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279717.8474548387</v>
      </c>
      <c r="K182" s="60"/>
      <c r="L182" s="60"/>
      <c r="M182" s="60">
        <f>1325263/31</f>
        <v>42750.41935483871</v>
      </c>
      <c r="N182" s="60">
        <f t="shared" si="1"/>
        <v>353736.3777516129</v>
      </c>
      <c r="O182" s="7">
        <f t="shared" si="3"/>
        <v>327747.9703</v>
      </c>
      <c r="P182" s="74"/>
      <c r="Q182" s="74"/>
    </row>
    <row r="183" spans="2:17" ht="12.75">
      <c r="B183" s="80">
        <v>2008.91666070001</v>
      </c>
      <c r="C183" s="52">
        <v>39753</v>
      </c>
      <c r="D183" s="60">
        <f>151084/30</f>
        <v>5036.133333333333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327747.9703</v>
      </c>
      <c r="P183" s="74"/>
      <c r="Q183" s="74"/>
    </row>
    <row r="184" spans="2:17" ht="12.75">
      <c r="B184" s="80">
        <v>2008.99999400001</v>
      </c>
      <c r="C184" s="52">
        <v>39783</v>
      </c>
      <c r="D184" s="60">
        <f>151465/31</f>
        <v>4885.967741935484</v>
      </c>
      <c r="E184" s="60"/>
      <c r="F184" s="60">
        <f>43170/31</f>
        <v>1392.5806451612902</v>
      </c>
      <c r="G184" s="60">
        <f>263982/31</f>
        <v>8515.548387096775</v>
      </c>
      <c r="H184" s="60">
        <f>48002.8333/31</f>
        <v>1548.478493548387</v>
      </c>
      <c r="I184" s="60">
        <f>383752/31</f>
        <v>12379.09677419355</v>
      </c>
      <c r="J184" s="60">
        <f>8362166.5038/31</f>
        <v>269747.3065741935</v>
      </c>
      <c r="K184" s="60"/>
      <c r="L184" s="60"/>
      <c r="M184" s="60">
        <f>1193244/31</f>
        <v>38491.74193548387</v>
      </c>
      <c r="N184" s="60">
        <f t="shared" si="1"/>
        <v>336960.7205516129</v>
      </c>
      <c r="O184" s="7">
        <f t="shared" si="3"/>
        <v>327747.9703</v>
      </c>
      <c r="P184" s="74"/>
      <c r="Q184" s="74"/>
    </row>
    <row r="185" spans="2:32" ht="12.75">
      <c r="B185" s="80">
        <v>2009.08332730001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713.328506451613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</v>
      </c>
      <c r="N185" s="60">
        <f t="shared" si="1"/>
        <v>297240.60174838704</v>
      </c>
      <c r="O185" s="56">
        <v>336112.2516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ht="12.75">
      <c r="B186" s="80">
        <v>2009.16666060001</v>
      </c>
      <c r="C186" s="52">
        <v>39845</v>
      </c>
      <c r="D186" s="60">
        <f>125942/28</f>
        <v>4497.928571428572</v>
      </c>
      <c r="E186" s="75"/>
      <c r="F186" s="60">
        <v>0</v>
      </c>
      <c r="G186" s="56">
        <f>203882/28</f>
        <v>7281.5</v>
      </c>
      <c r="H186" s="56">
        <f>18614.6998/28</f>
        <v>664.810707142857</v>
      </c>
      <c r="I186" s="56">
        <f>154326/28</f>
        <v>5511.642857142857</v>
      </c>
      <c r="J186" s="56">
        <f>6395417.1867/28</f>
        <v>228407.75666785715</v>
      </c>
      <c r="K186" s="56"/>
      <c r="L186" s="56"/>
      <c r="M186" s="56">
        <f>914673/28</f>
        <v>32666.89285714286</v>
      </c>
      <c r="N186" s="60">
        <f t="shared" si="1"/>
        <v>279030.5316607143</v>
      </c>
      <c r="O186" s="56">
        <f aca="true" t="shared" si="4" ref="O186:O196">+O185</f>
        <v>336112.2516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ht="12.75">
      <c r="B187" s="80">
        <v>2009.24999390001</v>
      </c>
      <c r="C187" s="52">
        <v>39873</v>
      </c>
      <c r="D187" s="60">
        <f>137611/31</f>
        <v>4439.064516129032</v>
      </c>
      <c r="E187" s="75"/>
      <c r="F187" s="60">
        <v>0</v>
      </c>
      <c r="G187" s="56">
        <f>227891/31</f>
        <v>7351.322580645161</v>
      </c>
      <c r="H187" s="56">
        <f>13174.2138/31</f>
        <v>424.9746387096774</v>
      </c>
      <c r="I187" s="56">
        <f>159565/31</f>
        <v>5147.258064516129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ht="12.75">
      <c r="B188" s="80">
        <v>2009.33332720001</v>
      </c>
      <c r="C188" s="52">
        <v>39904</v>
      </c>
      <c r="D188" s="60">
        <f>143312/30</f>
        <v>4777.066666666667</v>
      </c>
      <c r="E188" s="85"/>
      <c r="F188" s="85">
        <f>24233/30</f>
        <v>807.7666666666667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ht="12.7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9052.58064516129</v>
      </c>
      <c r="J189" s="86">
        <f>8419732/31</f>
        <v>271604.2580645161</v>
      </c>
      <c r="K189" s="86"/>
      <c r="L189" s="86"/>
      <c r="M189" s="86">
        <f>969374/31</f>
        <v>31270.129032258064</v>
      </c>
      <c r="N189" s="56">
        <f t="shared" si="1"/>
        <v>328120.9092645161</v>
      </c>
      <c r="O189" s="56">
        <f t="shared" si="4"/>
        <v>336112.2516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ht="12.75">
      <c r="B190" s="80">
        <v>2009.49999380001</v>
      </c>
      <c r="C190" s="52">
        <v>39965</v>
      </c>
      <c r="D190" s="60">
        <f>145597/30</f>
        <v>4853.233333333334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</v>
      </c>
      <c r="K190" s="86"/>
      <c r="L190" s="86"/>
      <c r="M190" s="86">
        <f>1306909/30</f>
        <v>43563.63333333333</v>
      </c>
      <c r="N190" s="56">
        <f t="shared" si="1"/>
        <v>362334.3258933333</v>
      </c>
      <c r="O190" s="56">
        <f t="shared" si="4"/>
        <v>336112.2516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ht="12.75">
      <c r="B191" s="80">
        <v>2009.58332710001</v>
      </c>
      <c r="C191" s="52">
        <v>39995</v>
      </c>
      <c r="D191" s="60">
        <f>154577/31</f>
        <v>4986.354838709677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</v>
      </c>
      <c r="I191" s="86">
        <f>427042/31</f>
        <v>13775.548387096775</v>
      </c>
      <c r="J191" s="86">
        <f>9015157.4144/31</f>
        <v>290811.5294967742</v>
      </c>
      <c r="K191" s="86"/>
      <c r="L191" s="86"/>
      <c r="M191" s="86">
        <f>1354188/31</f>
        <v>43683.48387096774</v>
      </c>
      <c r="N191" s="56">
        <f t="shared" si="1"/>
        <v>367233.2997354839</v>
      </c>
      <c r="O191" s="56">
        <f t="shared" si="4"/>
        <v>336112.2516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15" ht="12.75">
      <c r="B192" s="80">
        <v>2009.66666040001</v>
      </c>
      <c r="C192" s="52">
        <v>40026</v>
      </c>
      <c r="D192" s="88">
        <f>147202/31</f>
        <v>4748.451612903225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aca="true" t="shared" si="5" ref="N192:N223">SUM(D192:M192)</f>
        <v>376607.9251967742</v>
      </c>
      <c r="O192" s="90">
        <f t="shared" si="4"/>
        <v>336112.2516</v>
      </c>
    </row>
    <row r="193" spans="2:15" ht="12.75">
      <c r="B193" s="80">
        <v>2009.74999370001</v>
      </c>
      <c r="C193" s="52">
        <v>40057</v>
      </c>
      <c r="D193" s="91">
        <f>133673/30</f>
        <v>4455.766666666666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294256.96536</v>
      </c>
      <c r="K193" s="92"/>
      <c r="L193" s="92"/>
      <c r="M193" s="92">
        <f>1391643/30</f>
        <v>46388.1</v>
      </c>
      <c r="N193" s="92">
        <f t="shared" si="5"/>
        <v>375797.3750966666</v>
      </c>
      <c r="O193" s="90">
        <f t="shared" si="4"/>
        <v>336112.2516</v>
      </c>
    </row>
    <row r="194" spans="2:15" ht="12.75">
      <c r="B194" s="80">
        <v>2009.83332700001</v>
      </c>
      <c r="C194" s="52">
        <v>40087</v>
      </c>
      <c r="D194" s="93">
        <f>139424/31</f>
        <v>4497.548387096775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</v>
      </c>
      <c r="N194" s="90">
        <f t="shared" si="5"/>
        <v>365711.78973870975</v>
      </c>
      <c r="O194" s="90">
        <f t="shared" si="4"/>
        <v>336112.2516</v>
      </c>
    </row>
    <row r="195" spans="2:15" ht="12.75">
      <c r="B195" s="80">
        <v>2009.91666030001</v>
      </c>
      <c r="C195" s="52">
        <v>40118</v>
      </c>
      <c r="D195" s="93">
        <f>139906/30</f>
        <v>4663.533333333334</v>
      </c>
      <c r="E195" s="93"/>
      <c r="F195" s="93">
        <f>69366/30</f>
        <v>2312.2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</v>
      </c>
    </row>
    <row r="196" spans="2:19" ht="12.75">
      <c r="B196" s="80">
        <v>2009.99999360001</v>
      </c>
      <c r="C196" s="52">
        <v>40148</v>
      </c>
      <c r="D196" s="93">
        <f>144350/31</f>
        <v>4656.451612903225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</v>
      </c>
      <c r="I196" s="87">
        <f>305286/31</f>
        <v>9847.935483870968</v>
      </c>
      <c r="J196" s="87">
        <f>8615537/31</f>
        <v>277920.5483870968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</v>
      </c>
      <c r="Q196" s="29"/>
      <c r="R196" s="29"/>
      <c r="S196" s="29"/>
    </row>
    <row r="197" spans="2:19" ht="12.75">
      <c r="B197" s="80">
        <v>2010.08332690001</v>
      </c>
      <c r="C197" s="52">
        <v>40179</v>
      </c>
      <c r="D197" s="93">
        <f>145086/31</f>
        <v>4680.193548387097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</v>
      </c>
      <c r="I197" s="87">
        <f>356420/31</f>
        <v>11497.41935483871</v>
      </c>
      <c r="J197" s="87">
        <f>9165612.5048/31</f>
        <v>295664.9195096774</v>
      </c>
      <c r="K197" s="87">
        <f>3566.824/31</f>
        <v>115.05883870967742</v>
      </c>
      <c r="L197" s="87"/>
      <c r="M197" s="87">
        <f>961628/31</f>
        <v>31020.25806451613</v>
      </c>
      <c r="N197" s="90">
        <f t="shared" si="5"/>
        <v>358627.645548387</v>
      </c>
      <c r="O197" s="90">
        <v>700299</v>
      </c>
      <c r="Q197" s="109"/>
      <c r="R197" s="109"/>
      <c r="S197" s="29"/>
    </row>
    <row r="198" spans="2:19" ht="12.7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</v>
      </c>
      <c r="H198" s="100">
        <v>338.7857142857143</v>
      </c>
      <c r="I198" s="100">
        <f>260081/28</f>
        <v>9288.607142857143</v>
      </c>
      <c r="J198" s="87">
        <f>8895701.395/28</f>
        <v>317703.62124999997</v>
      </c>
      <c r="K198" s="87">
        <f>181908.6734/28</f>
        <v>6496.738335714285</v>
      </c>
      <c r="L198" s="87"/>
      <c r="M198" s="95">
        <f>828672/28</f>
        <v>29595.428571428572</v>
      </c>
      <c r="N198" s="90">
        <f t="shared" si="5"/>
        <v>382374.7167285714</v>
      </c>
      <c r="O198" s="19">
        <f>+O197</f>
        <v>700299</v>
      </c>
      <c r="Q198" s="109"/>
      <c r="R198" s="109"/>
      <c r="S198" s="29"/>
    </row>
    <row r="199" spans="2:19" ht="12.75">
      <c r="B199" s="80">
        <v>2010.24999350001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</v>
      </c>
      <c r="I199" s="100">
        <f>322893/31</f>
        <v>10415.90322580645</v>
      </c>
      <c r="J199" s="87">
        <f>9564549.2486/31</f>
        <v>308533.8467290323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</v>
      </c>
      <c r="O199" s="19">
        <f>+O198</f>
        <v>700299</v>
      </c>
      <c r="Q199" s="109"/>
      <c r="R199" s="109"/>
      <c r="S199" s="29"/>
    </row>
    <row r="200" spans="2:19" ht="12.75">
      <c r="B200" s="80">
        <v>2010.33332680001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</v>
      </c>
      <c r="N200" s="90">
        <f t="shared" si="5"/>
        <v>358234.69937333337</v>
      </c>
      <c r="O200" s="19">
        <f aca="true" t="shared" si="6" ref="O200:O208">+O199</f>
        <v>700299</v>
      </c>
      <c r="Q200" s="109"/>
      <c r="R200" s="109"/>
      <c r="S200" s="29"/>
    </row>
    <row r="201" spans="2:19" ht="12.75">
      <c r="B201" s="80">
        <v>2010.41666010001</v>
      </c>
      <c r="C201" s="52">
        <v>40299</v>
      </c>
      <c r="D201" s="98">
        <f>139497/31</f>
        <v>4499.903225806452</v>
      </c>
      <c r="E201" s="105"/>
      <c r="F201" s="105">
        <f>64807/31</f>
        <v>2090.548387096774</v>
      </c>
      <c r="G201" s="106">
        <f>286777/31</f>
        <v>9250.870967741936</v>
      </c>
      <c r="H201" s="106">
        <f>24188.77/31</f>
        <v>780.2829032258064</v>
      </c>
      <c r="I201" s="106">
        <f>239245/31</f>
        <v>7717.580645161291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438202.6746548387</v>
      </c>
      <c r="O201" s="19">
        <f t="shared" si="6"/>
        <v>700299</v>
      </c>
      <c r="Q201" s="109"/>
      <c r="R201" s="109"/>
      <c r="S201" s="29"/>
    </row>
    <row r="202" spans="2:19" ht="12.7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38256.36666666667</v>
      </c>
      <c r="N202" s="90">
        <f t="shared" si="5"/>
        <v>700877.01615</v>
      </c>
      <c r="O202" s="104">
        <f t="shared" si="6"/>
        <v>700299</v>
      </c>
      <c r="P202" s="96"/>
      <c r="Q202" s="109"/>
      <c r="R202" s="109"/>
      <c r="S202" s="29"/>
    </row>
    <row r="203" spans="2:19" ht="12.75">
      <c r="B203" s="80">
        <v>2010.58332670001</v>
      </c>
      <c r="C203" s="52">
        <v>40360</v>
      </c>
      <c r="D203" s="102">
        <f>141533/31</f>
        <v>4565.580645161291</v>
      </c>
      <c r="E203" s="102">
        <f>1001.3992/31</f>
        <v>32.3032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</v>
      </c>
      <c r="L203" s="87"/>
      <c r="M203" s="104">
        <f>936879/31</f>
        <v>30221.90322580645</v>
      </c>
      <c r="N203" s="90">
        <f t="shared" si="5"/>
        <v>795997.5898258063</v>
      </c>
      <c r="O203" s="104">
        <f t="shared" si="6"/>
        <v>700299</v>
      </c>
      <c r="P203" s="96"/>
      <c r="Q203" s="109"/>
      <c r="R203" s="109"/>
      <c r="S203" s="29"/>
    </row>
    <row r="204" spans="2:19" ht="12.75">
      <c r="B204" s="80">
        <v>2010.66666000001</v>
      </c>
      <c r="C204" s="52">
        <v>40391</v>
      </c>
      <c r="D204" s="107">
        <f>148652/31</f>
        <v>4795.225806451613</v>
      </c>
      <c r="E204" s="107">
        <f>1198.2896/31</f>
        <v>38.65450322580645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</v>
      </c>
      <c r="N204" s="90">
        <f t="shared" si="5"/>
        <v>991488.6216</v>
      </c>
      <c r="O204" s="104">
        <f t="shared" si="6"/>
        <v>700299</v>
      </c>
      <c r="P204" s="96"/>
      <c r="Q204" s="109"/>
      <c r="R204" s="109"/>
      <c r="S204" s="29"/>
    </row>
    <row r="205" spans="2:19" ht="12.75">
      <c r="B205" s="80">
        <v>2010.74999330001</v>
      </c>
      <c r="C205" s="52">
        <v>40422</v>
      </c>
      <c r="D205" s="107">
        <f>150521/30</f>
        <v>5017.366666666667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124.03602</v>
      </c>
      <c r="I205" s="104">
        <f>379742/30</f>
        <v>12658.066666666668</v>
      </c>
      <c r="J205" s="87">
        <f>13500718.0908/30</f>
        <v>450023.93636</v>
      </c>
      <c r="K205" s="87">
        <f>11800773.5559/30</f>
        <v>393359.11853</v>
      </c>
      <c r="L205" s="87"/>
      <c r="M205" s="104">
        <f>730183/30</f>
        <v>24339.433333333334</v>
      </c>
      <c r="N205" s="90">
        <f t="shared" si="5"/>
        <v>900604.1575766667</v>
      </c>
      <c r="O205" s="104">
        <f t="shared" si="6"/>
        <v>700299</v>
      </c>
      <c r="P205" s="96"/>
      <c r="Q205" s="109"/>
      <c r="R205" s="109"/>
      <c r="S205" s="29"/>
    </row>
    <row r="206" spans="2:19" ht="12.7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402786.3441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</v>
      </c>
      <c r="O206" s="104">
        <f t="shared" si="6"/>
        <v>700299</v>
      </c>
      <c r="P206" s="96">
        <f>+N206*31</f>
        <v>30513864.538</v>
      </c>
      <c r="Q206" s="109"/>
      <c r="R206" s="109"/>
      <c r="S206" s="29"/>
    </row>
    <row r="207" spans="2:19" ht="12.75">
      <c r="B207" s="80">
        <v>2010.91665990001</v>
      </c>
      <c r="C207" s="52">
        <v>40483</v>
      </c>
      <c r="D207" s="107">
        <f>143999/30</f>
        <v>4799.966666666666</v>
      </c>
      <c r="E207" s="107">
        <f>17523.6103/30</f>
        <v>584.1203433333334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442752.4653066667</v>
      </c>
      <c r="K207" s="87">
        <f>17325490.0447/30</f>
        <v>577516.3348233333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ht="12.75">
      <c r="B208" s="80">
        <v>2010.99999320001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367740.1674548387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1010052.414067742</v>
      </c>
      <c r="O208" s="104">
        <f t="shared" si="6"/>
        <v>700299</v>
      </c>
      <c r="P208" s="96">
        <f aca="true" t="shared" si="7" ref="P208:P213">N208-N207</f>
        <v>-67386.01116892463</v>
      </c>
      <c r="Q208" s="110"/>
      <c r="R208" s="110"/>
      <c r="S208" s="29"/>
    </row>
    <row r="209" spans="2:19" ht="12.75">
      <c r="B209" s="80">
        <v>2011.08332650001</v>
      </c>
      <c r="C209" s="52">
        <v>40544</v>
      </c>
      <c r="D209" s="107">
        <v>4287.6129</v>
      </c>
      <c r="E209" s="107">
        <v>716.13</v>
      </c>
      <c r="F209" s="107">
        <v>2187.8387</v>
      </c>
      <c r="G209" s="107">
        <v>11000.3226</v>
      </c>
      <c r="H209" s="107">
        <v>1325.0951</v>
      </c>
      <c r="I209" s="107">
        <v>9560.5161</v>
      </c>
      <c r="J209" s="107">
        <v>367427.4187</v>
      </c>
      <c r="K209" s="107">
        <v>610255.5152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18" ht="12.75">
      <c r="B210" s="80">
        <v>2011.16665980001</v>
      </c>
      <c r="C210" s="52">
        <v>40575</v>
      </c>
      <c r="D210" s="107">
        <f>131510/28</f>
        <v>4696.785714285715</v>
      </c>
      <c r="E210" s="107">
        <f>23613.2536/28</f>
        <v>843.3304857142857</v>
      </c>
      <c r="F210" s="107">
        <f>70672/28</f>
        <v>2524</v>
      </c>
      <c r="G210" s="107">
        <f>335390/28</f>
        <v>11978.214285714286</v>
      </c>
      <c r="H210" s="107">
        <f>16711.1428/28</f>
        <v>596.8265285714286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609819.1514535714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48606.94272857148</v>
      </c>
      <c r="Q210" s="96"/>
      <c r="R210" s="96"/>
    </row>
    <row r="211" spans="2:16" ht="12.75">
      <c r="B211" s="80">
        <v>2011.24999310001</v>
      </c>
      <c r="C211" s="52">
        <v>40603</v>
      </c>
      <c r="D211" s="107">
        <f>147969/31</f>
        <v>4773.193548387097</v>
      </c>
      <c r="E211" s="107">
        <f>28565.6959/31</f>
        <v>921.4740612903225</v>
      </c>
      <c r="F211" s="107">
        <f>85171/31</f>
        <v>2747.451612903226</v>
      </c>
      <c r="G211" s="107">
        <f>395794/31</f>
        <v>12767.548387096775</v>
      </c>
      <c r="H211" s="107">
        <f>25677.0434/31</f>
        <v>828.2917225806451</v>
      </c>
      <c r="I211" s="107">
        <f>388055/31</f>
        <v>12517.90322580645</v>
      </c>
      <c r="J211" s="107">
        <f>11564560.1689/31</f>
        <v>373050.3280290323</v>
      </c>
      <c r="K211" s="107">
        <f>11125452.5796/31</f>
        <v>358885.567083871</v>
      </c>
      <c r="L211" s="107"/>
      <c r="M211" s="107">
        <f>406136/31</f>
        <v>13101.161290322581</v>
      </c>
      <c r="N211" s="90">
        <f t="shared" si="5"/>
        <v>779592.9189612904</v>
      </c>
      <c r="O211" s="104">
        <f>+O210</f>
        <v>1099094</v>
      </c>
      <c r="P211" s="90">
        <f t="shared" si="7"/>
        <v>-289076.795667281</v>
      </c>
    </row>
    <row r="212" spans="2:16" ht="12.75">
      <c r="B212" s="80">
        <v>2011.33332640001</v>
      </c>
      <c r="C212" s="52">
        <v>40634</v>
      </c>
      <c r="D212" s="107">
        <f>143158/30</f>
        <v>4771.933333333333</v>
      </c>
      <c r="E212" s="107">
        <f>24569.158/30</f>
        <v>818.9719333333334</v>
      </c>
      <c r="F212" s="107">
        <f>76772/30</f>
        <v>2559.0666666666666</v>
      </c>
      <c r="G212" s="107">
        <f>391044/30</f>
        <v>13034.8</v>
      </c>
      <c r="H212" s="107">
        <f>104006.6814/30</f>
        <v>3466.88938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</v>
      </c>
      <c r="L212" s="107"/>
      <c r="M212" s="107">
        <f>308682/30</f>
        <v>10289.4</v>
      </c>
      <c r="N212" s="90">
        <f t="shared" si="5"/>
        <v>1034488.74642</v>
      </c>
      <c r="O212" s="104">
        <f aca="true" t="shared" si="8" ref="O212:O220">+O211</f>
        <v>1099094</v>
      </c>
      <c r="P212" s="90">
        <f t="shared" si="7"/>
        <v>254895.8274587096</v>
      </c>
    </row>
    <row r="213" spans="2:16" ht="12.75">
      <c r="B213" s="80">
        <v>2011.41665970001</v>
      </c>
      <c r="C213" s="52">
        <v>40664</v>
      </c>
      <c r="D213" s="107">
        <v>4193.2903</v>
      </c>
      <c r="E213" s="107">
        <v>894.8442</v>
      </c>
      <c r="F213" s="107">
        <v>2480.9355</v>
      </c>
      <c r="G213" s="107">
        <v>14177.4839</v>
      </c>
      <c r="H213" s="107">
        <v>1356.5745</v>
      </c>
      <c r="I213" s="107">
        <v>11597.6774</v>
      </c>
      <c r="J213" s="107">
        <v>432172.8771</v>
      </c>
      <c r="K213" s="107">
        <v>634906.1955</v>
      </c>
      <c r="L213" s="107"/>
      <c r="M213" s="107">
        <v>10148.3548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</v>
      </c>
    </row>
    <row r="214" spans="2:16" ht="12.75">
      <c r="B214" s="80">
        <v>2011.49999300001</v>
      </c>
      <c r="C214" s="52">
        <v>40695</v>
      </c>
      <c r="D214" s="107">
        <f>128333/30</f>
        <v>4277.766666666666</v>
      </c>
      <c r="E214" s="107">
        <f>29020.656/30</f>
        <v>967.3552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aca="true" t="shared" si="9" ref="P214:P225">N214-N213</f>
        <v>-46489.589370000176</v>
      </c>
    </row>
    <row r="215" spans="2:17" ht="12.75">
      <c r="B215" s="80">
        <v>2011.58332630001</v>
      </c>
      <c r="C215" s="52">
        <v>40725</v>
      </c>
      <c r="D215" s="107">
        <f>144701/31</f>
        <v>4667.774193548387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17" ht="12.7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960.8387096774194</v>
      </c>
      <c r="F216" s="107">
        <f>82710/31</f>
        <v>2668.064516129032</v>
      </c>
      <c r="G216" s="107">
        <f>482524/31</f>
        <v>15565.290322580646</v>
      </c>
      <c r="H216" s="107">
        <v>178.4516129032258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</v>
      </c>
    </row>
    <row r="217" spans="2:17" ht="12.75">
      <c r="B217" s="80">
        <v>2011.74999290001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17" ht="12.75">
      <c r="B218" s="80">
        <v>2011.83332620001</v>
      </c>
      <c r="C218" s="52">
        <v>40817</v>
      </c>
      <c r="D218" s="107">
        <f>147612/31</f>
        <v>4761.677419354839</v>
      </c>
      <c r="E218" s="107">
        <v>916.516129032258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9608.870967741936</v>
      </c>
      <c r="J218" s="107">
        <f>16455610/31</f>
        <v>530826.1290322581</v>
      </c>
      <c r="K218" s="107">
        <f>18931865/31</f>
        <v>610705.3225806452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17" ht="12.75">
      <c r="B219" s="80">
        <v>2011.91665950001</v>
      </c>
      <c r="C219" s="52">
        <v>40848</v>
      </c>
      <c r="D219" s="107">
        <f>144746/30</f>
        <v>4824.866666666667</v>
      </c>
      <c r="E219" s="107">
        <v>964.6666666666666</v>
      </c>
      <c r="F219" s="107">
        <f>82035/30</f>
        <v>2734.5</v>
      </c>
      <c r="G219" s="107">
        <f>434043/30</f>
        <v>14468.1</v>
      </c>
      <c r="H219" s="107">
        <v>638.3666666666667</v>
      </c>
      <c r="I219" s="107">
        <f>264752/30</f>
        <v>8825.066666666668</v>
      </c>
      <c r="J219" s="107">
        <f>15037203/30</f>
        <v>501240.1</v>
      </c>
      <c r="K219" s="107">
        <f>18895186/30</f>
        <v>629839.5333333333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</v>
      </c>
      <c r="Q219" s="112">
        <f>+N219*31</f>
        <v>36698170.96666666</v>
      </c>
    </row>
    <row r="220" spans="2:17" ht="13.5" thickBot="1">
      <c r="B220" s="80">
        <v>2011.99999280001</v>
      </c>
      <c r="C220" s="52">
        <v>40878</v>
      </c>
      <c r="D220" s="115">
        <v>4312.225806451613</v>
      </c>
      <c r="E220" s="115">
        <v>981.6774193548387</v>
      </c>
      <c r="F220" s="115">
        <v>2292.5806451612902</v>
      </c>
      <c r="G220" s="115">
        <v>10741.09677419355</v>
      </c>
      <c r="H220" s="115">
        <v>2032.225806451613</v>
      </c>
      <c r="I220" s="115">
        <v>7048.193548387097</v>
      </c>
      <c r="J220" s="115">
        <v>487324.51612903224</v>
      </c>
      <c r="K220" s="115">
        <v>625423.0645161291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17" ht="12.75">
      <c r="B221" s="80">
        <v>2012.08332610001</v>
      </c>
      <c r="C221" s="57">
        <v>40909</v>
      </c>
      <c r="D221" s="120">
        <v>4653.3226</v>
      </c>
      <c r="E221" s="117">
        <v>955.6377</v>
      </c>
      <c r="F221" s="117">
        <v>2782.3871</v>
      </c>
      <c r="G221" s="117">
        <v>8587.5806</v>
      </c>
      <c r="H221" s="117">
        <v>684.7608</v>
      </c>
      <c r="I221" s="117">
        <v>7727.4216</v>
      </c>
      <c r="J221" s="117">
        <v>433129.4135</v>
      </c>
      <c r="K221" s="117">
        <v>532903.4947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ht="12.75">
      <c r="B222" s="80">
        <v>2012.16665940001</v>
      </c>
      <c r="C222" s="57">
        <v>40940</v>
      </c>
      <c r="D222" s="121">
        <f>122803/29</f>
        <v>4234.586206896552</v>
      </c>
      <c r="E222" s="107">
        <v>956.1724137931035</v>
      </c>
      <c r="F222" s="107">
        <f>80910/29</f>
        <v>2790</v>
      </c>
      <c r="G222" s="107">
        <f>259582/29</f>
        <v>8951.103448275862</v>
      </c>
      <c r="H222" s="107">
        <f>6939.29/29</f>
        <v>239.2858620689655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606405.5843448276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33276050.946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17" ht="12.75">
      <c r="B223" s="80">
        <v>2012.24999270001</v>
      </c>
      <c r="C223" s="57">
        <v>40969</v>
      </c>
      <c r="D223" s="121">
        <f>135818/31</f>
        <v>4381.225806451613</v>
      </c>
      <c r="E223" s="115">
        <f>30666.0433/31</f>
        <v>989.2272032258065</v>
      </c>
      <c r="F223" s="115">
        <f>83899/31</f>
        <v>2706.4193548387098</v>
      </c>
      <c r="G223" s="115">
        <f>295351/31</f>
        <v>9527.451612903225</v>
      </c>
      <c r="H223" s="115">
        <f>10165.0753/31</f>
        <v>327.90565483870967</v>
      </c>
      <c r="I223" s="107">
        <f>240552.7671/31</f>
        <v>7759.766680645162</v>
      </c>
      <c r="J223" s="115">
        <f>15568887.3329/31</f>
        <v>502222.17202903226</v>
      </c>
      <c r="K223" s="107">
        <f>19255837.3517/31</f>
        <v>621156.0436032258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aca="true" t="shared" si="10" ref="O223:O232">+O222</f>
        <v>1144247.9535519127</v>
      </c>
      <c r="P223" s="113">
        <f t="shared" si="9"/>
        <v>25760.34484060062</v>
      </c>
      <c r="Q223" s="112">
        <f>+N223*31</f>
        <v>36369521.701299995</v>
      </c>
    </row>
    <row r="224" spans="2:17" ht="12.75">
      <c r="B224" s="80">
        <v>2012.33332600001</v>
      </c>
      <c r="C224" s="57">
        <v>41000</v>
      </c>
      <c r="D224" s="121">
        <v>4652.5</v>
      </c>
      <c r="E224" s="115">
        <v>879.5076666666666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</v>
      </c>
      <c r="J224" s="115">
        <f>14038756.55/30</f>
        <v>467958.5516666667</v>
      </c>
      <c r="K224" s="115">
        <f>17309755.26/30</f>
        <v>576991.8420000001</v>
      </c>
      <c r="L224" s="115"/>
      <c r="M224" s="115">
        <f>610435.96/30</f>
        <v>20347.86533333333</v>
      </c>
      <c r="N224" s="90">
        <f aca="true" t="shared" si="11" ref="N224:N250">SUM(D224:M224)</f>
        <v>1089538.9046666669</v>
      </c>
      <c r="O224" s="122">
        <f t="shared" si="10"/>
        <v>1144247.9535519127</v>
      </c>
      <c r="P224" s="113">
        <f t="shared" si="9"/>
        <v>-83671.47279462335</v>
      </c>
      <c r="Q224" s="112">
        <f>+N224*30</f>
        <v>32686167.140000008</v>
      </c>
    </row>
    <row r="225" spans="2:17" ht="12.75">
      <c r="B225" s="80">
        <v>2012.41665930001</v>
      </c>
      <c r="C225" s="57">
        <v>41030</v>
      </c>
      <c r="D225" s="121">
        <v>4878.774193548387</v>
      </c>
      <c r="E225" s="115">
        <v>967.5445161290323</v>
      </c>
      <c r="F225" s="115">
        <v>2894.935483870968</v>
      </c>
      <c r="G225" s="115">
        <v>8271.677419354839</v>
      </c>
      <c r="H225" s="115">
        <v>258.8412903225806</v>
      </c>
      <c r="I225" s="115">
        <v>6319.37935483871</v>
      </c>
      <c r="J225" s="115">
        <v>507187.0029032258</v>
      </c>
      <c r="K225" s="115">
        <v>598636.3312903226</v>
      </c>
      <c r="L225" s="115"/>
      <c r="M225" s="115">
        <v>25842.35225806452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</v>
      </c>
      <c r="Q225" s="112">
        <f>+N225*31</f>
        <v>35812962</v>
      </c>
    </row>
    <row r="226" spans="2:17" ht="12.75">
      <c r="B226" s="80">
        <v>2012.49999260001</v>
      </c>
      <c r="C226" s="57">
        <v>41061</v>
      </c>
      <c r="D226" s="121">
        <v>5054.433333333333</v>
      </c>
      <c r="E226" s="115">
        <v>974.372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37891227.62</v>
      </c>
    </row>
    <row r="227" spans="2:17" ht="12.75">
      <c r="B227" s="80">
        <v>2012.58332590001</v>
      </c>
      <c r="C227" s="57">
        <v>41091</v>
      </c>
      <c r="D227" s="121">
        <v>5039.2581</v>
      </c>
      <c r="E227" s="115">
        <v>960.2631</v>
      </c>
      <c r="F227" s="115">
        <v>2681.2903</v>
      </c>
      <c r="G227" s="115">
        <v>14394.7419</v>
      </c>
      <c r="H227" s="115">
        <v>1500.0385</v>
      </c>
      <c r="I227" s="115">
        <v>12692.201</v>
      </c>
      <c r="J227" s="115">
        <v>558676.3532</v>
      </c>
      <c r="K227" s="115">
        <v>633208.0234</v>
      </c>
      <c r="L227" s="115"/>
      <c r="M227" s="115">
        <v>46208.9529</v>
      </c>
      <c r="N227" s="19">
        <f t="shared" si="11"/>
        <v>1275361.1223999998</v>
      </c>
      <c r="O227" s="122">
        <f t="shared" si="10"/>
        <v>1144247.9535519127</v>
      </c>
      <c r="P227" s="113">
        <f aca="true" t="shared" si="12" ref="P227:P259">N227-N226</f>
        <v>12320.201733333291</v>
      </c>
      <c r="Q227" s="112">
        <f>+N227*31</f>
        <v>39536194.79439999</v>
      </c>
    </row>
    <row r="228" spans="2:17" ht="12.75">
      <c r="B228" s="80">
        <v>2012.66665920001</v>
      </c>
      <c r="C228" s="57">
        <v>41122</v>
      </c>
      <c r="D228" s="121">
        <v>4333.258064516129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6661.066129032258</v>
      </c>
      <c r="I228" s="115">
        <v>10900.183967741936</v>
      </c>
      <c r="J228" s="115">
        <v>531282.5908064516</v>
      </c>
      <c r="K228" s="115">
        <v>616292.8479032258</v>
      </c>
      <c r="L228" s="115"/>
      <c r="M228" s="115">
        <v>48092.07935483871</v>
      </c>
      <c r="N228" s="19">
        <f t="shared" si="11"/>
        <v>1236067.098548387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</v>
      </c>
    </row>
    <row r="229" spans="2:17" ht="12.75">
      <c r="B229" s="80">
        <v>2012.74999250001</v>
      </c>
      <c r="C229" s="57">
        <v>41153</v>
      </c>
      <c r="D229" s="121">
        <v>4917.833333333333</v>
      </c>
      <c r="E229" s="115">
        <v>863.2711633333333</v>
      </c>
      <c r="F229" s="115">
        <v>3244.266666666667</v>
      </c>
      <c r="G229" s="115">
        <v>16223.566666666668</v>
      </c>
      <c r="H229" s="115">
        <v>6558.477440000001</v>
      </c>
      <c r="I229" s="115">
        <v>12191.5126</v>
      </c>
      <c r="J229" s="115">
        <v>532219.2887533333</v>
      </c>
      <c r="K229" s="115">
        <v>633219.14832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6" ht="12.75">
      <c r="B230" s="80">
        <v>2012.83332580001</v>
      </c>
      <c r="C230" s="57">
        <v>41183</v>
      </c>
      <c r="D230" s="121">
        <f>166297/31</f>
        <v>5364.419354838709</v>
      </c>
      <c r="E230" s="115">
        <f>25604.9853/31</f>
        <v>825.9672677419355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3823.242287096774</v>
      </c>
      <c r="I230" s="115">
        <f>275969.6434/31</f>
        <v>8902.246561290323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-68595.6872411829</v>
      </c>
    </row>
    <row r="231" spans="2:16" ht="12.75">
      <c r="B231" s="80">
        <v>2012.91665910001</v>
      </c>
      <c r="C231" s="57">
        <v>41214</v>
      </c>
      <c r="D231" s="121">
        <v>5499.6333</v>
      </c>
      <c r="E231" s="115">
        <v>963.6526</v>
      </c>
      <c r="F231" s="115">
        <v>3806.4667</v>
      </c>
      <c r="G231" s="115">
        <v>6833.1667</v>
      </c>
      <c r="H231" s="115">
        <v>6547.6235</v>
      </c>
      <c r="I231" s="115">
        <v>3864.8263</v>
      </c>
      <c r="J231" s="115">
        <v>440466.9142</v>
      </c>
      <c r="K231" s="115">
        <v>332876.8467</v>
      </c>
      <c r="L231" s="115"/>
      <c r="M231" s="115">
        <v>28726.0492</v>
      </c>
      <c r="N231" s="19">
        <f t="shared" si="11"/>
        <v>829585.1792</v>
      </c>
      <c r="O231" s="122">
        <f t="shared" si="10"/>
        <v>1144247.9535519127</v>
      </c>
      <c r="P231" s="113">
        <f t="shared" si="12"/>
        <v>-359524.5818354838</v>
      </c>
    </row>
    <row r="232" spans="2:16" ht="12.75">
      <c r="B232" s="80">
        <v>2012.99999240001</v>
      </c>
      <c r="C232" s="123">
        <v>41244</v>
      </c>
      <c r="D232" s="121">
        <v>4381.709677419355</v>
      </c>
      <c r="E232" s="115">
        <v>1030.6552580645161</v>
      </c>
      <c r="F232" s="115">
        <v>2940.0967741935483</v>
      </c>
      <c r="G232" s="115">
        <v>6135.935483870968</v>
      </c>
      <c r="H232" s="115">
        <v>6146.552483870968</v>
      </c>
      <c r="I232" s="115">
        <v>2748.785580645161</v>
      </c>
      <c r="J232" s="115">
        <v>459930.9326451613</v>
      </c>
      <c r="K232" s="115">
        <v>610864.8548064517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6" ht="12.75">
      <c r="B233" s="80">
        <v>2013.08332570001</v>
      </c>
      <c r="C233" s="53">
        <v>41275</v>
      </c>
      <c r="D233" s="121">
        <f>188162/31</f>
        <v>6069.741935483871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6656.645161290323</v>
      </c>
      <c r="H233" s="115">
        <f>183101.1994/31</f>
        <v>5906.490303225807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</v>
      </c>
      <c r="P233" s="113">
        <f t="shared" si="12"/>
        <v>1706.650980645325</v>
      </c>
    </row>
    <row r="234" spans="2:16" ht="12.75">
      <c r="B234" s="80">
        <v>2013.16665900001</v>
      </c>
      <c r="C234" s="53">
        <v>41306</v>
      </c>
      <c r="D234" s="121">
        <f>173009/28</f>
        <v>6178.892857142857</v>
      </c>
      <c r="E234" s="115">
        <f>25481.3648/28</f>
        <v>910.0487428571429</v>
      </c>
      <c r="F234" s="115">
        <f>88655/28</f>
        <v>3166.25</v>
      </c>
      <c r="G234" s="115">
        <f>199325/28</f>
        <v>7118.75</v>
      </c>
      <c r="H234" s="115">
        <f>165686.8516/28</f>
        <v>5917.387557142857</v>
      </c>
      <c r="I234" s="115">
        <f>120567.521/28</f>
        <v>4305.982892857142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</v>
      </c>
      <c r="P234" s="113">
        <f t="shared" si="12"/>
        <v>44079.479270622134</v>
      </c>
    </row>
    <row r="235" spans="2:16" ht="12.7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914.0545032258065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639548.2772193549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aca="true" t="shared" si="13" ref="O235:O244">+O234</f>
        <v>1179614.09</v>
      </c>
      <c r="P235" s="113">
        <f t="shared" si="12"/>
        <v>-62255.10196739645</v>
      </c>
    </row>
    <row r="236" spans="2:16" ht="12.75">
      <c r="B236" s="80">
        <v>2013.33332560001</v>
      </c>
      <c r="C236" s="53">
        <v>41365</v>
      </c>
      <c r="D236" s="121">
        <f>167384/30</f>
        <v>5579.466666666666</v>
      </c>
      <c r="E236" s="115">
        <f>8926.17/30</f>
        <v>297.539</v>
      </c>
      <c r="F236" s="115">
        <f>88861/30</f>
        <v>2962.0333333333333</v>
      </c>
      <c r="G236" s="115">
        <f>182539/30</f>
        <v>6084.633333333333</v>
      </c>
      <c r="H236" s="115">
        <f>169164.38/30</f>
        <v>5638.812666666667</v>
      </c>
      <c r="I236" s="115">
        <f>19491.56/30</f>
        <v>649.7186666666668</v>
      </c>
      <c r="J236" s="115">
        <f>13429412.65/30</f>
        <v>447647.0883333333</v>
      </c>
      <c r="K236" s="115">
        <f>19262324.83/30</f>
        <v>642077.4943333332</v>
      </c>
      <c r="L236" s="115"/>
      <c r="M236" s="115">
        <f>284906.56/30</f>
        <v>9496.885333333334</v>
      </c>
      <c r="N236" s="30">
        <f t="shared" si="11"/>
        <v>1120433.6716666666</v>
      </c>
      <c r="O236" s="124">
        <f t="shared" si="13"/>
        <v>1179614.09</v>
      </c>
      <c r="P236" s="113">
        <f t="shared" si="12"/>
        <v>31701.157737634378</v>
      </c>
    </row>
    <row r="237" spans="2:16" ht="12.75">
      <c r="B237" s="80">
        <v>2013.41665890001</v>
      </c>
      <c r="C237" s="53">
        <v>41395</v>
      </c>
      <c r="D237" s="121">
        <f>205820/31</f>
        <v>6639.354838709677</v>
      </c>
      <c r="E237" s="115">
        <f>23668.34/31</f>
        <v>763.4948387096774</v>
      </c>
      <c r="F237" s="115">
        <f>100835/31</f>
        <v>3252.7419354838707</v>
      </c>
      <c r="G237" s="115">
        <f>191886/31</f>
        <v>6189.870967741936</v>
      </c>
      <c r="H237" s="115">
        <f>213580.64/31</f>
        <v>6889.698064516129</v>
      </c>
      <c r="I237" s="115">
        <f>25800.85/31</f>
        <v>832.2854838709677</v>
      </c>
      <c r="J237" s="115">
        <f>16895426.87/31</f>
        <v>545013.77</v>
      </c>
      <c r="K237" s="115">
        <f>19569249.52/31</f>
        <v>631266.1135483871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</v>
      </c>
      <c r="P237" s="113">
        <f t="shared" si="12"/>
        <v>95259.96575268824</v>
      </c>
    </row>
    <row r="238" spans="2:16" ht="12.75">
      <c r="B238" s="80">
        <v>2013.49999220001</v>
      </c>
      <c r="C238" s="53">
        <v>41426</v>
      </c>
      <c r="D238" s="121">
        <f>145646/30</f>
        <v>4854.866666666667</v>
      </c>
      <c r="E238" s="115">
        <f>26304.47/30</f>
        <v>876.8156666666667</v>
      </c>
      <c r="F238" s="115">
        <f>91635/30</f>
        <v>3054.5</v>
      </c>
      <c r="G238" s="115">
        <f>181503/30</f>
        <v>6050.1</v>
      </c>
      <c r="H238" s="115">
        <f>198980.29/30</f>
        <v>6632.676333333334</v>
      </c>
      <c r="I238" s="115">
        <f>81589.77/30</f>
        <v>2719.659</v>
      </c>
      <c r="J238" s="115">
        <f>15854801.01/30</f>
        <v>528493.367</v>
      </c>
      <c r="K238" s="115">
        <f>18841060.41/30</f>
        <v>628035.347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</v>
      </c>
      <c r="P238" s="113">
        <f t="shared" si="12"/>
        <v>-22161.025752688292</v>
      </c>
    </row>
    <row r="239" spans="2:16" ht="12.7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1028.888064516129</v>
      </c>
      <c r="F239" s="115">
        <f>103538/31</f>
        <v>3339.935483870968</v>
      </c>
      <c r="G239" s="115">
        <f>262899/31</f>
        <v>8480.612903225807</v>
      </c>
      <c r="H239" s="115">
        <f>211527.22/31</f>
        <v>6823.458709677419</v>
      </c>
      <c r="I239" s="115">
        <f>188685.2/31</f>
        <v>6086.61935483871</v>
      </c>
      <c r="J239" s="115">
        <f>16950349.97/31</f>
        <v>546785.4829032258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</v>
      </c>
      <c r="P239" s="113">
        <f t="shared" si="12"/>
        <v>-44648.89586021518</v>
      </c>
    </row>
    <row r="240" spans="2:16" ht="12.75">
      <c r="B240" s="80">
        <v>2013.66665880001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3306.967741935484</v>
      </c>
      <c r="G240" s="115">
        <f>240023/31</f>
        <v>7742.677419354839</v>
      </c>
      <c r="H240" s="115">
        <f>204381.69/31</f>
        <v>6592.957741935484</v>
      </c>
      <c r="I240" s="115">
        <f>186923.43/31</f>
        <v>6029.7880645161285</v>
      </c>
      <c r="J240" s="115">
        <f>17877312.07/31</f>
        <v>576687.4861290322</v>
      </c>
      <c r="K240" s="115">
        <f>19848336.9/31</f>
        <v>640268.9322580645</v>
      </c>
      <c r="L240" s="115"/>
      <c r="M240" s="115">
        <f>683460/31</f>
        <v>22047.09677419355</v>
      </c>
      <c r="N240" s="30">
        <f t="shared" si="11"/>
        <v>1269350.0551612903</v>
      </c>
      <c r="O240" s="124">
        <f t="shared" si="13"/>
        <v>1179614.09</v>
      </c>
      <c r="P240" s="113">
        <f t="shared" si="12"/>
        <v>120466.33935483894</v>
      </c>
    </row>
    <row r="241" spans="2:16" ht="12.75">
      <c r="B241" s="80">
        <v>2013.74999210001</v>
      </c>
      <c r="C241" s="53">
        <v>41518</v>
      </c>
      <c r="D241" s="121">
        <f>156982/30</f>
        <v>5232.733333333334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</v>
      </c>
      <c r="I241" s="115">
        <f>129807.67/30</f>
        <v>4326.922333333333</v>
      </c>
      <c r="J241" s="115">
        <f>16892875.76/30</f>
        <v>563095.8586666667</v>
      </c>
      <c r="K241" s="115">
        <f>19081290.35/30</f>
        <v>636043.0116666667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</v>
      </c>
      <c r="P241" s="113">
        <f t="shared" si="12"/>
        <v>-29446.8154946235</v>
      </c>
    </row>
    <row r="242" spans="2:16" ht="12.75">
      <c r="B242" s="80">
        <v>2013.83332540001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</v>
      </c>
      <c r="H242" s="115">
        <f>211276.27/31</f>
        <v>6815.363548387097</v>
      </c>
      <c r="I242" s="115">
        <f>113406.79/31</f>
        <v>3658.2835483870967</v>
      </c>
      <c r="J242" s="115">
        <f>16766875.49/31</f>
        <v>540866.9512903226</v>
      </c>
      <c r="K242" s="115">
        <f>19880435.77/31</f>
        <v>641304.3796774193</v>
      </c>
      <c r="L242" s="115"/>
      <c r="M242" s="115">
        <f>299118.54/31</f>
        <v>9648.985161290322</v>
      </c>
      <c r="N242" s="30">
        <f t="shared" si="11"/>
        <v>1218599.9822580644</v>
      </c>
      <c r="O242" s="124">
        <f t="shared" si="13"/>
        <v>1179614.09</v>
      </c>
      <c r="P242" s="113">
        <f t="shared" si="12"/>
        <v>-21303.257408602396</v>
      </c>
    </row>
    <row r="243" spans="2:16" ht="12.75">
      <c r="B243" s="80">
        <v>2013.91665870001</v>
      </c>
      <c r="C243" s="53">
        <v>41579</v>
      </c>
      <c r="D243" s="121">
        <f>202517/30</f>
        <v>6750.566666666667</v>
      </c>
      <c r="E243" s="115">
        <f>48502.3/30</f>
        <v>1616.7433333333333</v>
      </c>
      <c r="F243" s="115">
        <f>47484/30</f>
        <v>1582.8</v>
      </c>
      <c r="G243" s="115">
        <f>191452/30</f>
        <v>6381.733333333334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</v>
      </c>
      <c r="K243" s="115">
        <f>19038862.63/30</f>
        <v>634628.7543333333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</v>
      </c>
      <c r="P243" s="113">
        <f t="shared" si="12"/>
        <v>-4308.909591397969</v>
      </c>
    </row>
    <row r="244" spans="2:16" ht="12.75">
      <c r="B244" s="80">
        <v>2013.99999200001</v>
      </c>
      <c r="C244" s="53">
        <v>41609</v>
      </c>
      <c r="D244" s="121">
        <f>207959/31</f>
        <v>6708.354838709677</v>
      </c>
      <c r="E244" s="115">
        <f>38817.01/31</f>
        <v>1252.161612903226</v>
      </c>
      <c r="F244" s="115">
        <f>99276/31</f>
        <v>3202.451612903226</v>
      </c>
      <c r="G244" s="115">
        <f>190557/31</f>
        <v>6147</v>
      </c>
      <c r="H244" s="115">
        <f>204300/31</f>
        <v>6590.322580645161</v>
      </c>
      <c r="I244" s="115">
        <f>141941.74/31</f>
        <v>4578.765806451613</v>
      </c>
      <c r="J244" s="115">
        <f>15689885.08/31</f>
        <v>506125.3251612903</v>
      </c>
      <c r="K244" s="115">
        <f>19869646.39/31</f>
        <v>640956.3351612904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</v>
      </c>
      <c r="P244" s="113">
        <f t="shared" si="12"/>
        <v>-27405.993376343977</v>
      </c>
    </row>
    <row r="245" spans="2:16" s="131" customFormat="1" ht="12.75">
      <c r="B245" s="125">
        <f aca="true" t="shared" si="14" ref="B245:B308">+B244+0.0833333</f>
        <v>2014.08332530001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6536.798387096775</v>
      </c>
      <c r="I245" s="127">
        <f>231205.98/31</f>
        <v>7458.257419354839</v>
      </c>
      <c r="J245" s="127">
        <f>15548127.74/31</f>
        <v>501552.5077419355</v>
      </c>
      <c r="K245" s="127">
        <f>19692057.51/31</f>
        <v>635227.6616129032</v>
      </c>
      <c r="L245" s="127"/>
      <c r="M245" s="127">
        <f>446716.29/31</f>
        <v>14410.202903225805</v>
      </c>
      <c r="N245" s="128">
        <f t="shared" si="11"/>
        <v>1182989.967419355</v>
      </c>
      <c r="O245" s="129">
        <f>456406976/365</f>
        <v>1250430.0712328767</v>
      </c>
      <c r="P245" s="130">
        <f t="shared" si="12"/>
        <v>-3895.11187096755</v>
      </c>
    </row>
    <row r="246" spans="2:16" s="131" customFormat="1" ht="12.75">
      <c r="B246" s="125">
        <f t="shared" si="14"/>
        <v>2014.1666586000101</v>
      </c>
      <c r="C246" s="126">
        <v>41671</v>
      </c>
      <c r="D246" s="127">
        <f>154620/28</f>
        <v>5522.142857142857</v>
      </c>
      <c r="E246" s="127">
        <f>45987/28</f>
        <v>1642.392857142857</v>
      </c>
      <c r="F246" s="127">
        <f>71843/28</f>
        <v>2565.8214285714284</v>
      </c>
      <c r="G246" s="127">
        <f>224977/28</f>
        <v>8034.892857142857</v>
      </c>
      <c r="H246" s="127">
        <f>228168.87/28</f>
        <v>8148.888214285714</v>
      </c>
      <c r="I246" s="127">
        <f>109540.63/28</f>
        <v>3912.1653571428574</v>
      </c>
      <c r="J246" s="127">
        <f>15428348.23/28</f>
        <v>551012.4367857144</v>
      </c>
      <c r="K246" s="127">
        <f>17744628.07/28</f>
        <v>633736.7167857143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47561.21865207353</v>
      </c>
    </row>
    <row r="247" spans="2:16" s="131" customFormat="1" ht="12.7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</v>
      </c>
      <c r="F247" s="127">
        <f>73696/31</f>
        <v>2377.2903225806454</v>
      </c>
      <c r="G247" s="127">
        <f>252775/31</f>
        <v>8154.032258064516</v>
      </c>
      <c r="H247" s="127">
        <f>308087.1/31</f>
        <v>9938.293548387095</v>
      </c>
      <c r="I247" s="127">
        <f>162975.25/31</f>
        <v>5257.2661290322585</v>
      </c>
      <c r="J247" s="127">
        <f>19057628.03/31</f>
        <v>614762.1945161291</v>
      </c>
      <c r="K247" s="127">
        <f>19105776.42/31</f>
        <v>616315.3683870968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67846.55554147484</v>
      </c>
    </row>
    <row r="248" spans="2:16" s="131" customFormat="1" ht="12.75">
      <c r="B248" s="125">
        <f t="shared" si="14"/>
        <v>2014.3333252000102</v>
      </c>
      <c r="C248" s="132">
        <v>41730</v>
      </c>
      <c r="D248" s="127">
        <f>200359/30</f>
        <v>6678.633333333333</v>
      </c>
      <c r="E248" s="127">
        <f>45862.88/30</f>
        <v>1528.7626666666665</v>
      </c>
      <c r="F248" s="127">
        <f>63882/30</f>
        <v>2129.4</v>
      </c>
      <c r="G248" s="127">
        <f>243059/30</f>
        <v>8101.966666666666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572618.769</v>
      </c>
      <c r="K248" s="127">
        <f>16479688.95/30</f>
        <v>549322.965</v>
      </c>
      <c r="L248" s="127">
        <f>2730115.72/30</f>
        <v>91003.85733333333</v>
      </c>
      <c r="M248" s="127">
        <f>309412.55/30</f>
        <v>10313.751666666667</v>
      </c>
      <c r="N248" s="127">
        <f t="shared" si="11"/>
        <v>1256754.6726666666</v>
      </c>
      <c r="O248" s="129">
        <f aca="true" t="shared" si="15" ref="O248:O256">+O247</f>
        <v>1250430.0712328767</v>
      </c>
      <c r="P248" s="130">
        <f t="shared" si="12"/>
        <v>-41643.068946236745</v>
      </c>
    </row>
    <row r="249" spans="2:16" s="131" customFormat="1" ht="12.7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558485.7503225807</v>
      </c>
      <c r="K249" s="127">
        <f>15228620.02/31</f>
        <v>491245.80709677417</v>
      </c>
      <c r="L249" s="127">
        <f>2568790.23/31</f>
        <v>82864.20096774194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-82623.12298924709</v>
      </c>
    </row>
    <row r="250" spans="2:16" s="131" customFormat="1" ht="12.7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ht="12.7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6107.612903225807</v>
      </c>
      <c r="I251" s="127">
        <v>8119.290322580645</v>
      </c>
      <c r="J251" s="127">
        <v>644686.0645161291</v>
      </c>
      <c r="K251" s="127">
        <v>463227.2580645161</v>
      </c>
      <c r="L251" s="127">
        <v>115827.96774193548</v>
      </c>
      <c r="M251" s="127">
        <v>13196.09677419355</v>
      </c>
      <c r="N251" s="127">
        <f aca="true" t="shared" si="16" ref="N251:N262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ht="12.75">
      <c r="B252" s="125">
        <f t="shared" si="14"/>
        <v>2014.6666584000104</v>
      </c>
      <c r="C252" s="132">
        <v>41852</v>
      </c>
      <c r="D252" s="127">
        <v>9955.871</v>
      </c>
      <c r="E252" s="127">
        <v>1956.4003</v>
      </c>
      <c r="F252" s="127">
        <v>3600.9677</v>
      </c>
      <c r="G252" s="127">
        <v>14832.2581</v>
      </c>
      <c r="H252" s="127">
        <v>6366.9484</v>
      </c>
      <c r="I252" s="127">
        <v>8077.0697</v>
      </c>
      <c r="J252" s="127">
        <v>673810.7521</v>
      </c>
      <c r="K252" s="127">
        <v>481010.3317</v>
      </c>
      <c r="L252" s="127">
        <v>37537.1942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ht="12.7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ht="12.7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ht="12.7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ht="12.7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</v>
      </c>
      <c r="I256" s="180">
        <v>5569.032258064516</v>
      </c>
      <c r="J256" s="180">
        <v>624992.1612903225</v>
      </c>
      <c r="K256" s="180">
        <v>531433.7741935484</v>
      </c>
      <c r="L256" s="180">
        <v>90899.58064516129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</v>
      </c>
    </row>
    <row r="257" spans="2:16" s="187" customFormat="1" ht="12.75">
      <c r="B257" s="183">
        <f t="shared" si="14"/>
        <v>2015.0833249000107</v>
      </c>
      <c r="C257" s="184">
        <v>42005</v>
      </c>
      <c r="D257" s="185">
        <v>9462.225806451614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5607.935483870968</v>
      </c>
      <c r="J257" s="185">
        <v>543248</v>
      </c>
      <c r="K257" s="185">
        <v>545663.4838709678</v>
      </c>
      <c r="L257" s="185">
        <v>86943.87096774194</v>
      </c>
      <c r="M257" s="185">
        <v>12718.741935483871</v>
      </c>
      <c r="N257" s="185">
        <f>+SUM(D257:M257)</f>
        <v>1233309.9032258063</v>
      </c>
      <c r="O257" s="185">
        <v>1294666.0901</v>
      </c>
      <c r="P257" s="186">
        <f>N257-N256</f>
        <v>-70223.54838709673</v>
      </c>
    </row>
    <row r="258" spans="2:16" s="187" customFormat="1" ht="12.75">
      <c r="B258" s="183">
        <f t="shared" si="14"/>
        <v>2015.1666582000107</v>
      </c>
      <c r="C258" s="184">
        <v>42036</v>
      </c>
      <c r="D258" s="185">
        <v>8833.785714285714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</v>
      </c>
      <c r="I258" s="185">
        <v>4576.321428571428</v>
      </c>
      <c r="J258" s="185">
        <v>583878.0714285715</v>
      </c>
      <c r="K258" s="185">
        <v>513581.3214285714</v>
      </c>
      <c r="L258" s="185">
        <v>83334.07142857143</v>
      </c>
      <c r="M258" s="185">
        <v>14223.285714285714</v>
      </c>
      <c r="N258" s="185">
        <f t="shared" si="16"/>
        <v>1235733.75</v>
      </c>
      <c r="O258" s="185">
        <f>+O257</f>
        <v>1294666.0901</v>
      </c>
      <c r="P258" s="186">
        <f t="shared" si="12"/>
        <v>2423.846774193691</v>
      </c>
    </row>
    <row r="259" spans="2:16" s="187" customFormat="1" ht="12.7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</v>
      </c>
      <c r="I259" s="185">
        <v>5308.387096774193</v>
      </c>
      <c r="J259" s="185">
        <v>648717.8064516129</v>
      </c>
      <c r="K259" s="185">
        <v>459847.67741935485</v>
      </c>
      <c r="L259" s="185">
        <v>85955.19354838709</v>
      </c>
      <c r="M259" s="185">
        <v>14836.258064516129</v>
      </c>
      <c r="N259" s="185">
        <f t="shared" si="16"/>
        <v>1252104.5806451612</v>
      </c>
      <c r="O259" s="185">
        <f aca="true" t="shared" si="17" ref="O259:O268">+O258</f>
        <v>1294666.0901</v>
      </c>
      <c r="P259" s="186">
        <f t="shared" si="12"/>
        <v>16370.830645161215</v>
      </c>
    </row>
    <row r="260" spans="2:16" s="187" customFormat="1" ht="12.75">
      <c r="B260" s="183">
        <f t="shared" si="14"/>
        <v>2015.3333248000108</v>
      </c>
      <c r="C260" s="184">
        <v>42095</v>
      </c>
      <c r="D260" s="185">
        <v>9274.8</v>
      </c>
      <c r="E260" s="185">
        <v>1581.2741766666666</v>
      </c>
      <c r="F260" s="185">
        <v>3099.233333333333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</v>
      </c>
      <c r="K260" s="185">
        <v>439317.15340999997</v>
      </c>
      <c r="L260" s="185">
        <v>63488.032713333334</v>
      </c>
      <c r="M260" s="185">
        <v>14572.773</v>
      </c>
      <c r="N260" s="185">
        <f t="shared" si="16"/>
        <v>1153490.96845</v>
      </c>
      <c r="O260" s="185">
        <f t="shared" si="17"/>
        <v>1294666.0901</v>
      </c>
      <c r="P260" s="186">
        <f aca="true" t="shared" si="18" ref="P260:P265">N260-N259</f>
        <v>-98613.61219516117</v>
      </c>
    </row>
    <row r="261" spans="2:16" s="187" customFormat="1" ht="12.75">
      <c r="B261" s="183">
        <f t="shared" si="14"/>
        <v>2015.4166581000109</v>
      </c>
      <c r="C261" s="184">
        <v>42125</v>
      </c>
      <c r="D261" s="185">
        <v>9211.935483870968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8367.225806451614</v>
      </c>
      <c r="I261" s="185">
        <v>7057.967741935484</v>
      </c>
      <c r="J261" s="185">
        <v>616913.0967741936</v>
      </c>
      <c r="K261" s="185">
        <v>292298.3548387097</v>
      </c>
      <c r="L261" s="185">
        <v>57255.8064516129</v>
      </c>
      <c r="M261" s="185">
        <v>16405.612903225807</v>
      </c>
      <c r="N261" s="185">
        <f t="shared" si="16"/>
        <v>1025056.9677419355</v>
      </c>
      <c r="O261" s="185">
        <f t="shared" si="17"/>
        <v>1294666.0901</v>
      </c>
      <c r="P261" s="186">
        <f t="shared" si="18"/>
        <v>-128434.00070806453</v>
      </c>
    </row>
    <row r="262" spans="2:16" s="187" customFormat="1" ht="12.75">
      <c r="B262" s="183">
        <f t="shared" si="14"/>
        <v>2015.499991400011</v>
      </c>
      <c r="C262" s="184">
        <v>42156</v>
      </c>
      <c r="D262" s="185">
        <v>9021.733333333334</v>
      </c>
      <c r="E262" s="185">
        <v>2145.2</v>
      </c>
      <c r="F262" s="185">
        <v>3132.733333333333</v>
      </c>
      <c r="G262" s="185">
        <v>14032.866666666667</v>
      </c>
      <c r="H262" s="185">
        <v>11017.8</v>
      </c>
      <c r="I262" s="185">
        <v>7550.066666666667</v>
      </c>
      <c r="J262" s="185">
        <v>709752.1666666666</v>
      </c>
      <c r="K262" s="185">
        <v>493899.8333333333</v>
      </c>
      <c r="L262" s="185">
        <v>87204.46666666666</v>
      </c>
      <c r="M262" s="185">
        <v>13853.066666666668</v>
      </c>
      <c r="N262" s="185">
        <f t="shared" si="16"/>
        <v>1351609.933333333</v>
      </c>
      <c r="O262" s="185">
        <f t="shared" si="17"/>
        <v>1294666.0901</v>
      </c>
      <c r="P262" s="186">
        <f t="shared" si="18"/>
        <v>326552.9655913976</v>
      </c>
    </row>
    <row r="263" spans="2:16" s="187" customFormat="1" ht="12.75">
      <c r="B263" s="183">
        <f t="shared" si="14"/>
        <v>2015.583324700011</v>
      </c>
      <c r="C263" s="184">
        <v>42186</v>
      </c>
      <c r="D263" s="185">
        <v>8545.870967741936</v>
      </c>
      <c r="E263" s="185">
        <v>2170.064516129032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</v>
      </c>
      <c r="K263" s="185">
        <v>413778.67741935485</v>
      </c>
      <c r="L263" s="185">
        <v>66311</v>
      </c>
      <c r="M263" s="185">
        <v>11851</v>
      </c>
      <c r="N263" s="185">
        <f aca="true" t="shared" si="19" ref="N263:N268">+SUM(D263:M263)</f>
        <v>1225001.4516129033</v>
      </c>
      <c r="O263" s="185">
        <f t="shared" si="17"/>
        <v>1294666.0901</v>
      </c>
      <c r="P263" s="186">
        <f t="shared" si="18"/>
        <v>-126608.48172042985</v>
      </c>
    </row>
    <row r="264" spans="2:16" s="187" customFormat="1" ht="12.7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2248.935483870968</v>
      </c>
      <c r="F264" s="185">
        <v>2970.483870967742</v>
      </c>
      <c r="G264" s="185">
        <v>14873</v>
      </c>
      <c r="H264" s="185">
        <v>10305.161290322581</v>
      </c>
      <c r="I264" s="185">
        <v>7934.419354838709</v>
      </c>
      <c r="J264" s="185">
        <v>690308.4193548387</v>
      </c>
      <c r="K264" s="185">
        <v>114776.03225806452</v>
      </c>
      <c r="L264" s="185">
        <v>36666.87096774193</v>
      </c>
      <c r="M264" s="185">
        <v>27430.451612903227</v>
      </c>
      <c r="N264" s="185">
        <f t="shared" si="19"/>
        <v>917233.7419354839</v>
      </c>
      <c r="O264" s="185">
        <f t="shared" si="17"/>
        <v>1294666.0901</v>
      </c>
      <c r="P264" s="186">
        <f t="shared" si="18"/>
        <v>-307767.7096774194</v>
      </c>
    </row>
    <row r="265" spans="2:16" s="187" customFormat="1" ht="12.75">
      <c r="B265" s="183">
        <f t="shared" si="14"/>
        <v>2015.749991300011</v>
      </c>
      <c r="C265" s="184">
        <v>42248</v>
      </c>
      <c r="D265" s="185">
        <v>10156.733333333334</v>
      </c>
      <c r="E265" s="185">
        <v>2365.2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660422.7266666667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1294666.0901</v>
      </c>
      <c r="P265" s="186">
        <f t="shared" si="18"/>
        <v>149264.12573118298</v>
      </c>
    </row>
    <row r="266" spans="2:16" s="187" customFormat="1" ht="12.75">
      <c r="B266" s="183">
        <f t="shared" si="14"/>
        <v>2015.833324600011</v>
      </c>
      <c r="C266" s="184">
        <v>42278</v>
      </c>
      <c r="D266" s="185">
        <v>10230.09677419355</v>
      </c>
      <c r="E266" s="185">
        <v>2386.128064516129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724629.9670967743</v>
      </c>
      <c r="K266" s="185">
        <v>495241.0487096774</v>
      </c>
      <c r="L266" s="185">
        <v>85658.41322580645</v>
      </c>
      <c r="M266" s="185">
        <v>19667.453548387097</v>
      </c>
      <c r="N266" s="185">
        <f t="shared" si="19"/>
        <v>1372026.7996774197</v>
      </c>
      <c r="O266" s="185">
        <f t="shared" si="17"/>
        <v>1294666.0901</v>
      </c>
      <c r="P266" s="186">
        <f>N266-N265</f>
        <v>305528.93201075285</v>
      </c>
    </row>
    <row r="267" spans="2:16" s="187" customFormat="1" ht="12.7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</v>
      </c>
      <c r="F267" s="185">
        <v>2855.1</v>
      </c>
      <c r="G267" s="185">
        <v>13881.633333333333</v>
      </c>
      <c r="H267" s="185">
        <v>12016.9</v>
      </c>
      <c r="I267" s="185">
        <v>6130.566666666667</v>
      </c>
      <c r="J267" s="185">
        <v>703397.9333333333</v>
      </c>
      <c r="K267" s="185">
        <v>491247.8</v>
      </c>
      <c r="L267" s="185">
        <v>94854.56666666667</v>
      </c>
      <c r="M267" s="185">
        <v>16332.566666666668</v>
      </c>
      <c r="N267" s="185">
        <f t="shared" si="19"/>
        <v>1353317.1333333333</v>
      </c>
      <c r="O267" s="185">
        <f t="shared" si="17"/>
        <v>1294666.0901</v>
      </c>
      <c r="P267" s="186">
        <f>N267-N266</f>
        <v>-18709.666344086407</v>
      </c>
    </row>
    <row r="268" spans="2:16" s="187" customFormat="1" ht="12.7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</v>
      </c>
      <c r="J268" s="192">
        <v>658062.0322580645</v>
      </c>
      <c r="K268" s="192">
        <v>529471.9354838709</v>
      </c>
      <c r="L268" s="192">
        <v>74477.41935483871</v>
      </c>
      <c r="M268" s="192">
        <v>19378.290322580644</v>
      </c>
      <c r="N268" s="192">
        <f t="shared" si="19"/>
        <v>1326580.8709677418</v>
      </c>
      <c r="O268" s="192">
        <f t="shared" si="17"/>
        <v>1294666.0901</v>
      </c>
      <c r="P268" s="193">
        <f>N268-N267</f>
        <v>-26736.26236559148</v>
      </c>
    </row>
    <row r="269" spans="1:16" ht="12.7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</v>
      </c>
      <c r="I269" s="194">
        <v>7483.419354838709</v>
      </c>
      <c r="J269" s="194">
        <v>559286.1290322581</v>
      </c>
      <c r="K269" s="194">
        <v>303206.3870967742</v>
      </c>
      <c r="L269" s="194">
        <v>63920.25806451613</v>
      </c>
      <c r="M269" s="194">
        <v>29750.032258064515</v>
      </c>
      <c r="N269" s="194">
        <f aca="true" t="shared" si="20" ref="N269:N278">+SUM(D269:M269)</f>
        <v>998675.3225806451</v>
      </c>
      <c r="O269" s="220">
        <v>1350904.1949</v>
      </c>
      <c r="P269" s="194">
        <f>N269-N268</f>
        <v>-327905.54838709673</v>
      </c>
    </row>
    <row r="270" spans="1:16" s="5" customFormat="1" ht="13.5" customHeight="1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3109.448275862069</v>
      </c>
      <c r="G270" s="194">
        <v>13098.068965517241</v>
      </c>
      <c r="H270" s="194">
        <v>8577.005131034482</v>
      </c>
      <c r="I270" s="194">
        <v>7077.8933</v>
      </c>
      <c r="J270" s="194">
        <v>652481.1699655172</v>
      </c>
      <c r="K270" s="194">
        <v>317178.39746206894</v>
      </c>
      <c r="L270" s="194">
        <v>32485.05454827586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aca="true" t="shared" si="21" ref="P270:P278">N270-N269</f>
        <v>64550.64622969972</v>
      </c>
    </row>
    <row r="271" spans="1:16" s="5" customFormat="1" ht="12.75">
      <c r="A271" s="187"/>
      <c r="B271" s="183">
        <f t="shared" si="14"/>
        <v>2016.2499911000114</v>
      </c>
      <c r="C271" s="219">
        <v>42430</v>
      </c>
      <c r="D271" s="194">
        <v>8281.806451612903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</v>
      </c>
      <c r="J271" s="194">
        <v>637085.9118774193</v>
      </c>
      <c r="K271" s="194">
        <v>511111.62507096777</v>
      </c>
      <c r="L271" s="194">
        <v>91207.16970967742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ht="12.75">
      <c r="A272" s="187"/>
      <c r="B272" s="183">
        <f t="shared" si="14"/>
        <v>2016.3333244000114</v>
      </c>
      <c r="C272" s="219">
        <v>42461</v>
      </c>
      <c r="D272" s="194">
        <v>7452.266666666666</v>
      </c>
      <c r="E272" s="194">
        <v>2188.4666666666667</v>
      </c>
      <c r="F272" s="194">
        <v>3042.6</v>
      </c>
      <c r="G272" s="194">
        <v>13807.9</v>
      </c>
      <c r="H272" s="194">
        <v>10368.2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1313613.866666667</v>
      </c>
      <c r="O272" s="218">
        <f>+O271</f>
        <v>1350904.1949</v>
      </c>
      <c r="P272" s="194">
        <f t="shared" si="21"/>
        <v>15794.193289247574</v>
      </c>
    </row>
    <row r="273" spans="1:16" ht="12.75">
      <c r="A273" s="187"/>
      <c r="B273" s="183">
        <f t="shared" si="14"/>
        <v>2016.4166577000115</v>
      </c>
      <c r="C273" s="219">
        <v>42491</v>
      </c>
      <c r="D273" s="194">
        <v>7816.741935483871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8919.935483870968</v>
      </c>
      <c r="I273" s="194">
        <v>6482.451612903225</v>
      </c>
      <c r="J273" s="194">
        <v>739284.6774193548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aca="true" t="shared" si="22" ref="O273:O279">+O272</f>
        <v>1350904.1949</v>
      </c>
      <c r="P273" s="194">
        <f t="shared" si="21"/>
        <v>132914.29462365573</v>
      </c>
    </row>
    <row r="274" spans="1:18" ht="12.7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</v>
      </c>
      <c r="L274" s="194">
        <v>143244.43333333332</v>
      </c>
      <c r="M274" s="194">
        <v>24832.4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</v>
      </c>
      <c r="R274" s="4"/>
    </row>
    <row r="275" spans="1:16" ht="12.75">
      <c r="A275" s="187"/>
      <c r="B275" s="183">
        <f t="shared" si="14"/>
        <v>2016.5833243000116</v>
      </c>
      <c r="C275" s="219">
        <v>42552</v>
      </c>
      <c r="D275" s="194">
        <v>7704.129032258064</v>
      </c>
      <c r="E275" s="194">
        <v>2297.935483870968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8421.516129032258</v>
      </c>
      <c r="J275" s="194">
        <v>792049.4838709678</v>
      </c>
      <c r="K275" s="194">
        <v>480176.1935483871</v>
      </c>
      <c r="L275" s="194">
        <v>182516.51612903227</v>
      </c>
      <c r="M275" s="194">
        <v>8831.612903225807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6" ht="12.75">
      <c r="A276" s="187"/>
      <c r="B276" s="183">
        <f t="shared" si="14"/>
        <v>2016.6666576000116</v>
      </c>
      <c r="C276" s="219">
        <v>42583</v>
      </c>
      <c r="D276" s="194">
        <v>8428.806451612903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</v>
      </c>
      <c r="J276" s="194">
        <v>754020.0142225807</v>
      </c>
      <c r="K276" s="194">
        <v>478459.9160032258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6" ht="12.75">
      <c r="A277" s="187"/>
      <c r="B277" s="183">
        <f t="shared" si="14"/>
        <v>2016.7499909000117</v>
      </c>
      <c r="C277" s="219">
        <v>42614</v>
      </c>
      <c r="D277" s="194">
        <v>8989.566666666668</v>
      </c>
      <c r="E277" s="194">
        <v>2683.4080200000003</v>
      </c>
      <c r="F277" s="194">
        <v>3036.266666666667</v>
      </c>
      <c r="G277" s="194">
        <v>15015.933333333332</v>
      </c>
      <c r="H277" s="194">
        <v>9905.5259</v>
      </c>
      <c r="I277" s="194">
        <v>8128.594926666667</v>
      </c>
      <c r="J277" s="194">
        <v>678021.2419733333</v>
      </c>
      <c r="K277" s="194">
        <v>501939.91141</v>
      </c>
      <c r="L277" s="194">
        <v>158650.46112</v>
      </c>
      <c r="M277" s="194">
        <v>4629.142833333333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</v>
      </c>
    </row>
    <row r="278" spans="1:16" ht="12.75">
      <c r="A278" s="187"/>
      <c r="B278" s="183">
        <f t="shared" si="14"/>
        <v>2016.8333242000117</v>
      </c>
      <c r="C278" s="219">
        <v>42644</v>
      </c>
      <c r="D278" s="194">
        <v>8977.064516129032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</v>
      </c>
      <c r="J278" s="194">
        <v>701969.9090967742</v>
      </c>
      <c r="K278" s="194">
        <v>481197.2874645161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6" ht="12.75">
      <c r="A279" s="187"/>
      <c r="B279" s="183">
        <f t="shared" si="14"/>
        <v>2016.9166575000118</v>
      </c>
      <c r="C279" s="219">
        <v>42675</v>
      </c>
      <c r="D279" s="194">
        <v>8435.133333333333</v>
      </c>
      <c r="E279" s="194">
        <v>2718.02998</v>
      </c>
      <c r="F279" s="194">
        <v>3281.866666666667</v>
      </c>
      <c r="G279" s="194">
        <v>15555.366666666667</v>
      </c>
      <c r="H279" s="194">
        <v>10897.418966666668</v>
      </c>
      <c r="I279" s="194">
        <v>7918.932036666666</v>
      </c>
      <c r="J279" s="194">
        <v>808606.64686</v>
      </c>
      <c r="K279" s="194">
        <v>509275.32376999996</v>
      </c>
      <c r="L279" s="194">
        <v>161531.01057333333</v>
      </c>
      <c r="M279" s="194">
        <v>6048.95717</v>
      </c>
      <c r="N279" s="194">
        <f>+SUM(D279:M279)</f>
        <v>1534268.6860233333</v>
      </c>
      <c r="O279" s="217">
        <f t="shared" si="22"/>
        <v>1350904.1949</v>
      </c>
      <c r="P279" s="194">
        <f aca="true" t="shared" si="23" ref="P279:P292">N279-N278</f>
        <v>134172.25368784973</v>
      </c>
    </row>
    <row r="280" spans="1:16" ht="12.75">
      <c r="A280" s="187"/>
      <c r="B280" s="183">
        <f t="shared" si="14"/>
        <v>2016.9999908000118</v>
      </c>
      <c r="C280" s="219">
        <v>42705</v>
      </c>
      <c r="D280" s="194">
        <v>8295.838709677419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</v>
      </c>
      <c r="J280" s="194">
        <v>739194.3081870968</v>
      </c>
      <c r="K280" s="194">
        <v>507609.0147032258</v>
      </c>
      <c r="L280" s="194">
        <v>150716.28651935485</v>
      </c>
      <c r="M280" s="194">
        <v>81.38709677419355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-88566.90725559113</v>
      </c>
    </row>
    <row r="281" spans="2:16" s="131" customFormat="1" ht="12.7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</v>
      </c>
      <c r="F281" s="128">
        <v>1692.4193548387098</v>
      </c>
      <c r="G281" s="128">
        <v>15207.741935483871</v>
      </c>
      <c r="H281" s="128">
        <v>8632.15291935484</v>
      </c>
      <c r="I281" s="128">
        <v>5948.690741935484</v>
      </c>
      <c r="J281" s="128">
        <v>568811.6974677419</v>
      </c>
      <c r="K281" s="128">
        <v>449599.3785903226</v>
      </c>
      <c r="L281" s="128">
        <v>163866.58614838708</v>
      </c>
      <c r="M281" s="128">
        <v>116.11440967741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2:16" s="5" customFormat="1" ht="12.75">
      <c r="B282" s="125">
        <f t="shared" si="14"/>
        <v>2017.166657400012</v>
      </c>
      <c r="C282" s="132">
        <v>42767</v>
      </c>
      <c r="E282" s="81"/>
      <c r="N282" s="128">
        <v>1177591.9729</v>
      </c>
      <c r="O282" s="128">
        <f>+O281</f>
        <v>1245812.264</v>
      </c>
      <c r="P282" s="128">
        <f t="shared" si="23"/>
        <v>-45922.550474193646</v>
      </c>
    </row>
    <row r="283" spans="2:16" s="5" customFormat="1" ht="12.75">
      <c r="B283" s="125">
        <f t="shared" si="14"/>
        <v>2017.249990700012</v>
      </c>
      <c r="C283" s="132">
        <v>42795</v>
      </c>
      <c r="N283" s="128">
        <v>1204775.2013</v>
      </c>
      <c r="O283" s="128">
        <f aca="true" t="shared" si="24" ref="O283:O292">+O282</f>
        <v>1245812.264</v>
      </c>
      <c r="P283" s="128">
        <f t="shared" si="23"/>
        <v>27183.22840000014</v>
      </c>
    </row>
    <row r="284" spans="2:16" s="5" customFormat="1" ht="12.7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</v>
      </c>
    </row>
    <row r="285" spans="2:16" ht="12.7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2:16" ht="12.75">
      <c r="B286" s="125">
        <f t="shared" si="14"/>
        <v>2017.499990600012</v>
      </c>
      <c r="C286" s="132">
        <v>42887</v>
      </c>
      <c r="D286"/>
      <c r="E286"/>
      <c r="F286"/>
      <c r="N286" s="128">
        <v>1263196.8907</v>
      </c>
      <c r="O286" s="128">
        <f t="shared" si="24"/>
        <v>1245812.264</v>
      </c>
      <c r="P286" s="128">
        <f>N286-N285</f>
        <v>102673.25130000012</v>
      </c>
    </row>
    <row r="287" spans="2:16" ht="12.7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2:16" ht="12.7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</v>
      </c>
      <c r="O288" s="128">
        <f t="shared" si="24"/>
        <v>1245812.264</v>
      </c>
      <c r="P288" s="128">
        <f t="shared" si="23"/>
        <v>210108.55300000007</v>
      </c>
    </row>
    <row r="289" spans="2:16" ht="12.7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</v>
      </c>
    </row>
    <row r="290" spans="2:16" ht="12.7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</v>
      </c>
      <c r="O290" s="128">
        <f t="shared" si="24"/>
        <v>1245812.264</v>
      </c>
      <c r="P290" s="128">
        <f>N290-N289</f>
        <v>71063.60820000013</v>
      </c>
    </row>
    <row r="291" spans="2:16" ht="12.7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1377579.1164</v>
      </c>
      <c r="O291" s="128">
        <f>+O290</f>
        <v>1245812.264</v>
      </c>
      <c r="P291" s="128">
        <f>N291-N290</f>
        <v>33119.817799999844</v>
      </c>
    </row>
    <row r="292" spans="2:16" ht="12.7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</v>
      </c>
      <c r="O292" s="128">
        <f t="shared" si="24"/>
        <v>1245812.264</v>
      </c>
      <c r="P292" s="128">
        <f t="shared" si="23"/>
        <v>-56649.17059999984</v>
      </c>
    </row>
    <row r="293" spans="2:16" ht="12.7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</v>
      </c>
      <c r="P293" s="245">
        <f aca="true" t="shared" si="25" ref="P293:P303">N293-N292</f>
        <v>-181603.56410000008</v>
      </c>
    </row>
    <row r="294" spans="2:16" ht="12.7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849299.3487</v>
      </c>
      <c r="O294" s="244">
        <f aca="true" t="shared" si="26" ref="O294:O304">+O293</f>
        <v>1197245.8237</v>
      </c>
      <c r="P294" s="245">
        <f t="shared" si="25"/>
        <v>-290027.03300000005</v>
      </c>
    </row>
    <row r="295" spans="2:16" ht="12.7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</v>
      </c>
      <c r="O295" s="244">
        <f t="shared" si="26"/>
        <v>1197245.8237</v>
      </c>
      <c r="P295" s="245">
        <f t="shared" si="25"/>
        <v>314061.9798000001</v>
      </c>
    </row>
    <row r="296" spans="2:16" ht="12.7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</v>
      </c>
      <c r="P296" s="245">
        <f t="shared" si="25"/>
        <v>54717.67149999994</v>
      </c>
    </row>
    <row r="297" spans="2:16" ht="12.7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1295738.0528</v>
      </c>
      <c r="O297" s="244">
        <f t="shared" si="26"/>
        <v>1197245.8237</v>
      </c>
      <c r="P297" s="245">
        <f t="shared" si="25"/>
        <v>77659.05279999995</v>
      </c>
    </row>
    <row r="298" spans="2:16" ht="12.7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</v>
      </c>
      <c r="P298" s="245">
        <f t="shared" si="25"/>
        <v>107746.5375000001</v>
      </c>
    </row>
    <row r="299" spans="2:16" ht="12.7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</v>
      </c>
      <c r="P299" s="245">
        <f t="shared" si="25"/>
        <v>-102755.38280000002</v>
      </c>
    </row>
    <row r="300" spans="2:16" ht="12.7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</v>
      </c>
      <c r="O300" s="244">
        <f t="shared" si="26"/>
        <v>1197245.8237</v>
      </c>
      <c r="P300" s="245">
        <f t="shared" si="25"/>
        <v>-346859.7339</v>
      </c>
    </row>
    <row r="301" spans="2:16" ht="12.7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</v>
      </c>
      <c r="O301" s="244">
        <f t="shared" si="26"/>
        <v>1197245.8237</v>
      </c>
      <c r="P301" s="245">
        <f t="shared" si="25"/>
        <v>478698.88970000006</v>
      </c>
    </row>
    <row r="302" spans="2:16" ht="12.75">
      <c r="B302" s="243">
        <f t="shared" si="14"/>
        <v>2018.833323400013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</v>
      </c>
      <c r="P302" s="245">
        <f t="shared" si="25"/>
        <v>-226925.71830000007</v>
      </c>
    </row>
    <row r="303" spans="2:16" ht="12.75">
      <c r="B303" s="243">
        <f t="shared" si="14"/>
        <v>2018.916656700013</v>
      </c>
      <c r="C303" s="132">
        <v>43405</v>
      </c>
      <c r="D303"/>
      <c r="E303" s="20"/>
      <c r="F303" s="20"/>
      <c r="N303" s="266">
        <v>1374884.0149</v>
      </c>
      <c r="O303" s="244">
        <f t="shared" si="26"/>
        <v>1197245.8237</v>
      </c>
      <c r="P303" s="245">
        <f t="shared" si="25"/>
        <v>169241.36990000005</v>
      </c>
    </row>
    <row r="304" spans="2:16" ht="12.7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1412080.9692</v>
      </c>
      <c r="O304" s="244">
        <f t="shared" si="26"/>
        <v>1197245.8237</v>
      </c>
      <c r="P304" s="245">
        <f aca="true" t="shared" si="27" ref="P304:P311">N304-N303</f>
        <v>37196.95429999987</v>
      </c>
    </row>
    <row r="305" spans="2:16" ht="12.75">
      <c r="B305" s="273">
        <f t="shared" si="14"/>
        <v>2019.083323300013</v>
      </c>
      <c r="C305" s="274">
        <v>43466</v>
      </c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1">
        <v>1315946.6183</v>
      </c>
      <c r="O305" s="271">
        <v>1299273.6229</v>
      </c>
      <c r="P305" s="275">
        <f t="shared" si="27"/>
        <v>-96134.35089999996</v>
      </c>
    </row>
    <row r="306" spans="2:16" ht="12.75">
      <c r="B306" s="273">
        <f t="shared" si="14"/>
        <v>2019.166656600013</v>
      </c>
      <c r="C306" s="274">
        <v>43497</v>
      </c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1">
        <v>1264159.3536</v>
      </c>
      <c r="O306" s="271">
        <v>1299273.6229</v>
      </c>
      <c r="P306" s="275">
        <f t="shared" si="27"/>
        <v>-51787.26469999994</v>
      </c>
    </row>
    <row r="307" spans="2:16" ht="12.75">
      <c r="B307" s="273">
        <f t="shared" si="14"/>
        <v>2019.2499899000131</v>
      </c>
      <c r="C307" s="274">
        <v>43525</v>
      </c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1">
        <v>1194725.7082</v>
      </c>
      <c r="O307" s="271">
        <v>1299273.6229</v>
      </c>
      <c r="P307" s="275">
        <f t="shared" si="27"/>
        <v>-69433.64540000004</v>
      </c>
    </row>
    <row r="308" spans="2:16" ht="12.75">
      <c r="B308" s="273">
        <f t="shared" si="14"/>
        <v>2019.3333232000132</v>
      </c>
      <c r="C308" s="274">
        <v>43556</v>
      </c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1">
        <v>1119085.7704</v>
      </c>
      <c r="O308" s="271">
        <v>1299273.6229</v>
      </c>
      <c r="P308" s="275">
        <f t="shared" si="27"/>
        <v>-75639.93779999996</v>
      </c>
    </row>
    <row r="309" spans="2:16" ht="12.75">
      <c r="B309" s="273">
        <f aca="true" t="shared" si="28" ref="B309:B317">+B308+0.0833333</f>
        <v>2019.4166565000132</v>
      </c>
      <c r="C309" s="274">
        <v>43586</v>
      </c>
      <c r="D309"/>
      <c r="E309" s="20"/>
      <c r="F309" s="20"/>
      <c r="N309" s="271">
        <v>1085771.1066</v>
      </c>
      <c r="O309" s="271">
        <v>1299273.6229</v>
      </c>
      <c r="P309" s="275">
        <f t="shared" si="27"/>
        <v>-33314.66379999998</v>
      </c>
    </row>
    <row r="310" spans="2:16" ht="12.75">
      <c r="B310" s="273">
        <f t="shared" si="28"/>
        <v>2019.4999898000133</v>
      </c>
      <c r="C310" s="274">
        <v>43617</v>
      </c>
      <c r="D310"/>
      <c r="E310" s="20"/>
      <c r="F310" s="20"/>
      <c r="N310" s="271">
        <v>1121341.1848</v>
      </c>
      <c r="O310" s="271">
        <v>1299273.6229</v>
      </c>
      <c r="P310" s="275">
        <f t="shared" si="27"/>
        <v>35570.07819999987</v>
      </c>
    </row>
    <row r="311" spans="2:16" ht="12.75">
      <c r="B311" s="273">
        <f t="shared" si="28"/>
        <v>2019.5833231000133</v>
      </c>
      <c r="C311" s="274">
        <v>43647</v>
      </c>
      <c r="D311"/>
      <c r="E311" s="20"/>
      <c r="F311" s="20"/>
      <c r="N311" s="271">
        <v>1340583.234</v>
      </c>
      <c r="O311" s="271">
        <v>1299273.6229</v>
      </c>
      <c r="P311" s="275">
        <f t="shared" si="27"/>
        <v>219242.0492</v>
      </c>
    </row>
    <row r="312" spans="2:16" ht="12.75">
      <c r="B312" s="273">
        <f t="shared" si="28"/>
        <v>2019.6666564000134</v>
      </c>
      <c r="C312" s="274">
        <v>43678</v>
      </c>
      <c r="D312"/>
      <c r="E312" s="20"/>
      <c r="F312" s="20"/>
      <c r="N312" s="271">
        <v>1509143.8179</v>
      </c>
      <c r="O312" s="271">
        <v>1299273.6229</v>
      </c>
      <c r="P312" s="275">
        <f aca="true" t="shared" si="29" ref="P312:P317">N312-N311</f>
        <v>168560.58389999997</v>
      </c>
    </row>
    <row r="313" spans="2:16" ht="12.75">
      <c r="B313" s="273">
        <f t="shared" si="28"/>
        <v>2019.7499897000134</v>
      </c>
      <c r="C313" s="274">
        <v>43709</v>
      </c>
      <c r="D313"/>
      <c r="E313" s="20"/>
      <c r="F313" s="20"/>
      <c r="N313" s="271">
        <v>1555960.2551</v>
      </c>
      <c r="O313" s="271">
        <v>1299273.6229</v>
      </c>
      <c r="P313" s="275">
        <f t="shared" si="29"/>
        <v>46816.437200000044</v>
      </c>
    </row>
    <row r="314" spans="2:16" ht="12.75">
      <c r="B314" s="273">
        <f t="shared" si="28"/>
        <v>2019.8333230000135</v>
      </c>
      <c r="C314" s="274">
        <v>43739</v>
      </c>
      <c r="D314"/>
      <c r="E314" s="20"/>
      <c r="F314" s="20"/>
      <c r="N314" s="271">
        <v>1419451.6309</v>
      </c>
      <c r="O314" s="271">
        <v>1299273.6229</v>
      </c>
      <c r="P314" s="275">
        <f t="shared" si="29"/>
        <v>-136508.62419999996</v>
      </c>
    </row>
    <row r="315" spans="2:16" ht="12.75">
      <c r="B315" s="273">
        <f t="shared" si="28"/>
        <v>2019.9166563000135</v>
      </c>
      <c r="C315" s="274">
        <v>43770</v>
      </c>
      <c r="D315"/>
      <c r="E315" s="20"/>
      <c r="F315" s="20"/>
      <c r="N315" s="271">
        <v>1418369.9405</v>
      </c>
      <c r="O315" s="271">
        <v>1299273.6229</v>
      </c>
      <c r="P315" s="275">
        <f t="shared" si="29"/>
        <v>-1081.6903999999631</v>
      </c>
    </row>
    <row r="316" spans="2:16" ht="12.75">
      <c r="B316" s="273">
        <f t="shared" si="28"/>
        <v>2019.9999896000136</v>
      </c>
      <c r="C316" s="274">
        <v>43800</v>
      </c>
      <c r="D316"/>
      <c r="E316" s="20"/>
      <c r="F316" s="20"/>
      <c r="N316" s="277">
        <v>1243898</v>
      </c>
      <c r="O316" s="271">
        <v>1299273.6229</v>
      </c>
      <c r="P316" s="275">
        <f t="shared" si="29"/>
        <v>-174471.94050000003</v>
      </c>
    </row>
    <row r="317" spans="2:16" ht="12.75">
      <c r="B317" s="243">
        <f t="shared" si="28"/>
        <v>2020.0833229000136</v>
      </c>
      <c r="C317" s="132">
        <v>43831</v>
      </c>
      <c r="D317"/>
      <c r="E317" s="20"/>
      <c r="F317" s="20"/>
      <c r="N317" s="305">
        <v>1211720.6916</v>
      </c>
      <c r="O317" s="305">
        <v>1230112.0061</v>
      </c>
      <c r="P317" s="306">
        <f t="shared" si="29"/>
        <v>-32177.30839999998</v>
      </c>
    </row>
    <row r="318" spans="2:16" ht="12.75">
      <c r="B318" s="243">
        <f>+B317+0.0833333</f>
        <v>2020.1666562000137</v>
      </c>
      <c r="C318" s="132">
        <v>43862</v>
      </c>
      <c r="D318"/>
      <c r="E318" s="20"/>
      <c r="F318" s="20"/>
      <c r="N318" s="305">
        <v>1249771.6869</v>
      </c>
      <c r="O318" s="305">
        <v>1230112.0061</v>
      </c>
      <c r="P318" s="306">
        <f>N318-N317</f>
        <v>38050.99530000007</v>
      </c>
    </row>
    <row r="319" spans="2:6" ht="12.75">
      <c r="B319"/>
      <c r="D319"/>
      <c r="E319" s="20"/>
      <c r="F319" s="20"/>
    </row>
    <row r="320" spans="2:6" ht="12.75">
      <c r="B320"/>
      <c r="D320"/>
      <c r="E320" s="20"/>
      <c r="F320" s="20"/>
    </row>
    <row r="321" spans="2:6" ht="12.75">
      <c r="B321"/>
      <c r="D321"/>
      <c r="E321" s="20"/>
      <c r="F321" s="20"/>
    </row>
    <row r="322" spans="2:6" ht="12.75">
      <c r="B322"/>
      <c r="D322"/>
      <c r="E322" s="20"/>
      <c r="F322" s="20"/>
    </row>
    <row r="323" spans="2:6" ht="12.75">
      <c r="B323"/>
      <c r="D323"/>
      <c r="E323" s="20"/>
      <c r="F323" s="20"/>
    </row>
    <row r="324" spans="2:6" ht="12.75">
      <c r="B324"/>
      <c r="D324"/>
      <c r="E324" s="20"/>
      <c r="F324" s="20"/>
    </row>
    <row r="325" spans="2:6" ht="12.75">
      <c r="B325"/>
      <c r="D325"/>
      <c r="E325" s="20"/>
      <c r="F325" s="20"/>
    </row>
    <row r="326" spans="2:6" ht="12.75">
      <c r="B326"/>
      <c r="D326"/>
      <c r="E326" s="20"/>
      <c r="F326" s="20"/>
    </row>
    <row r="327" spans="2:6" ht="12.75">
      <c r="B327"/>
      <c r="D327"/>
      <c r="E327" s="20"/>
      <c r="F327" s="20"/>
    </row>
    <row r="328" spans="2:6" ht="12.75">
      <c r="B328"/>
      <c r="D328"/>
      <c r="E328" s="20"/>
      <c r="F328" s="20"/>
    </row>
    <row r="329" spans="2:6" ht="12.75">
      <c r="B329"/>
      <c r="D329"/>
      <c r="E329" s="20"/>
      <c r="F329" s="20"/>
    </row>
    <row r="330" spans="2:6" ht="12.75">
      <c r="B330"/>
      <c r="D330"/>
      <c r="E330" s="20"/>
      <c r="F330" s="20"/>
    </row>
    <row r="331" spans="2:6" ht="12.75">
      <c r="B331"/>
      <c r="D331"/>
      <c r="E331" s="20"/>
      <c r="F331" s="20"/>
    </row>
    <row r="332" spans="2:6" ht="12.75">
      <c r="B332"/>
      <c r="D332"/>
      <c r="E332" s="20"/>
      <c r="F332" s="20"/>
    </row>
    <row r="333" spans="2:6" ht="12.75">
      <c r="B333"/>
      <c r="D333"/>
      <c r="E333" s="20"/>
      <c r="F333" s="20"/>
    </row>
    <row r="334" spans="2:6" ht="12.75">
      <c r="B334"/>
      <c r="D334"/>
      <c r="E334" s="20"/>
      <c r="F334" s="20"/>
    </row>
    <row r="335" spans="2:6" ht="12.75">
      <c r="B335"/>
      <c r="D335"/>
      <c r="E335" s="20"/>
      <c r="F335" s="20"/>
    </row>
    <row r="336" spans="2:6" ht="12.75">
      <c r="B336"/>
      <c r="D336"/>
      <c r="E336" s="20"/>
      <c r="F336" s="20"/>
    </row>
    <row r="337" spans="2:6" ht="12.75">
      <c r="B337"/>
      <c r="D337"/>
      <c r="E337" s="20"/>
      <c r="F337" s="20"/>
    </row>
    <row r="338" spans="2:6" ht="12.75">
      <c r="B338"/>
      <c r="D338"/>
      <c r="E338" s="20"/>
      <c r="F338" s="20"/>
    </row>
    <row r="339" spans="2:6" ht="12.75">
      <c r="B339"/>
      <c r="D339"/>
      <c r="E339" s="20"/>
      <c r="F339" s="20"/>
    </row>
    <row r="340" spans="2:6" ht="12.75">
      <c r="B340"/>
      <c r="D340"/>
      <c r="E340" s="20"/>
      <c r="F340" s="20"/>
    </row>
    <row r="341" spans="2:6" ht="12.75">
      <c r="B341"/>
      <c r="D341"/>
      <c r="E341" s="20"/>
      <c r="F341" s="20"/>
    </row>
    <row r="342" spans="2:6" ht="12.75">
      <c r="B342"/>
      <c r="D342"/>
      <c r="E342" s="20"/>
      <c r="F342" s="20"/>
    </row>
    <row r="343" spans="2:6" ht="12.75">
      <c r="B343"/>
      <c r="D343"/>
      <c r="E343" s="20"/>
      <c r="F343" s="20"/>
    </row>
    <row r="344" spans="2:6" ht="12.75">
      <c r="B344"/>
      <c r="D344"/>
      <c r="E344" s="20"/>
      <c r="F344" s="20"/>
    </row>
    <row r="345" spans="2:6" ht="12.75">
      <c r="B345"/>
      <c r="D345"/>
      <c r="E345" s="20"/>
      <c r="F345" s="20"/>
    </row>
    <row r="346" spans="2:6" ht="12.75">
      <c r="B346"/>
      <c r="D346"/>
      <c r="E346" s="20"/>
      <c r="F346" s="20"/>
    </row>
    <row r="347" spans="2:6" ht="12.75">
      <c r="B347"/>
      <c r="D347"/>
      <c r="E347" s="20"/>
      <c r="F347" s="20"/>
    </row>
    <row r="348" spans="2:6" ht="12.75">
      <c r="B348"/>
      <c r="D348"/>
      <c r="E348" s="20"/>
      <c r="F348" s="20"/>
    </row>
    <row r="349" spans="2:6" ht="12.75">
      <c r="B349"/>
      <c r="D349"/>
      <c r="E349" s="20"/>
      <c r="F349" s="20"/>
    </row>
    <row r="350" spans="2:6" ht="12.75">
      <c r="B350"/>
      <c r="D350"/>
      <c r="E350" s="20"/>
      <c r="F350" s="20"/>
    </row>
    <row r="351" spans="2:6" ht="12.75">
      <c r="B351"/>
      <c r="D351"/>
      <c r="E351" s="20"/>
      <c r="F351" s="20"/>
    </row>
    <row r="352" spans="2:6" ht="12.75">
      <c r="B352"/>
      <c r="D352"/>
      <c r="E352" s="20"/>
      <c r="F352" s="20"/>
    </row>
    <row r="353" spans="2:6" ht="12.75">
      <c r="B353"/>
      <c r="D353"/>
      <c r="E353" s="20"/>
      <c r="F353" s="20"/>
    </row>
    <row r="354" spans="2:6" ht="12.75">
      <c r="B354"/>
      <c r="D354"/>
      <c r="E354" s="20"/>
      <c r="F354" s="20"/>
    </row>
    <row r="355" spans="2:6" ht="12.75">
      <c r="B355"/>
      <c r="D355"/>
      <c r="E355" s="20"/>
      <c r="F355" s="20"/>
    </row>
    <row r="356" spans="2:6" ht="12.75">
      <c r="B356"/>
      <c r="D356"/>
      <c r="E356" s="20"/>
      <c r="F356" s="20"/>
    </row>
    <row r="357" spans="2:6" ht="12.75">
      <c r="B357"/>
      <c r="D357"/>
      <c r="E357" s="20"/>
      <c r="F357" s="20"/>
    </row>
    <row r="358" spans="2:6" ht="12.75">
      <c r="B358"/>
      <c r="D358"/>
      <c r="E358" s="20"/>
      <c r="F358" s="20"/>
    </row>
    <row r="359" spans="2:6" ht="12.75">
      <c r="B359"/>
      <c r="D359"/>
      <c r="E359" s="20"/>
      <c r="F359" s="20"/>
    </row>
    <row r="360" spans="2:6" ht="12.75">
      <c r="B360"/>
      <c r="D360"/>
      <c r="E360" s="20"/>
      <c r="F360" s="20"/>
    </row>
    <row r="361" spans="2:6" ht="12.75">
      <c r="B361"/>
      <c r="D361"/>
      <c r="E361" s="20"/>
      <c r="F361" s="20"/>
    </row>
    <row r="362" spans="2:6" ht="12.75">
      <c r="B362"/>
      <c r="D362"/>
      <c r="E362" s="20"/>
      <c r="F362" s="20"/>
    </row>
    <row r="363" spans="2:6" ht="12.75">
      <c r="B363"/>
      <c r="D363"/>
      <c r="E363" s="20"/>
      <c r="F363" s="20"/>
    </row>
    <row r="364" spans="2:6" ht="12.75">
      <c r="B364"/>
      <c r="D364"/>
      <c r="E364" s="20"/>
      <c r="F364" s="20"/>
    </row>
    <row r="365" spans="2:6" ht="12.75">
      <c r="B365"/>
      <c r="D365"/>
      <c r="E365" s="20"/>
      <c r="F365" s="20"/>
    </row>
    <row r="366" spans="2:6" ht="12.75">
      <c r="B366"/>
      <c r="D366"/>
      <c r="E366" s="20"/>
      <c r="F366" s="20"/>
    </row>
    <row r="367" spans="2:6" ht="12.75">
      <c r="B367"/>
      <c r="D367"/>
      <c r="E367" s="20"/>
      <c r="F367" s="20"/>
    </row>
    <row r="368" spans="2:6" ht="12.75">
      <c r="B368"/>
      <c r="D368"/>
      <c r="E368" s="20"/>
      <c r="F368" s="20"/>
    </row>
    <row r="369" spans="2:6" ht="12.75">
      <c r="B369"/>
      <c r="D369"/>
      <c r="E369" s="20"/>
      <c r="F369" s="20"/>
    </row>
    <row r="370" spans="2:6" ht="12.75">
      <c r="B370"/>
      <c r="D370"/>
      <c r="E370" s="20"/>
      <c r="F370" s="20"/>
    </row>
    <row r="371" spans="2:6" ht="12.75">
      <c r="B371"/>
      <c r="D371"/>
      <c r="E371" s="20"/>
      <c r="F371" s="20"/>
    </row>
    <row r="372" spans="2:6" ht="12.75">
      <c r="B372"/>
      <c r="D372"/>
      <c r="E372" s="20"/>
      <c r="F372" s="20"/>
    </row>
    <row r="373" spans="2:6" ht="12.75">
      <c r="B373"/>
      <c r="D373"/>
      <c r="E373" s="20"/>
      <c r="F373" s="20"/>
    </row>
    <row r="374" spans="2:6" ht="12.75">
      <c r="B374"/>
      <c r="D374"/>
      <c r="E374" s="20"/>
      <c r="F374" s="20"/>
    </row>
    <row r="375" spans="2:6" ht="12.75">
      <c r="B375"/>
      <c r="D375"/>
      <c r="E375" s="20"/>
      <c r="F375" s="20"/>
    </row>
    <row r="376" spans="2:6" ht="12.75">
      <c r="B376"/>
      <c r="D376"/>
      <c r="E376" s="20"/>
      <c r="F376" s="20"/>
    </row>
    <row r="377" spans="2:6" ht="12.75">
      <c r="B377"/>
      <c r="D377"/>
      <c r="E377" s="20"/>
      <c r="F377" s="20"/>
    </row>
    <row r="378" spans="2:6" ht="12.75">
      <c r="B378"/>
      <c r="D378"/>
      <c r="E378" s="20"/>
      <c r="F378" s="20"/>
    </row>
    <row r="379" spans="2:6" ht="12.75">
      <c r="B379"/>
      <c r="D379"/>
      <c r="E379" s="20"/>
      <c r="F379" s="20"/>
    </row>
    <row r="380" spans="2:6" ht="12.75">
      <c r="B380"/>
      <c r="D380"/>
      <c r="E380" s="20"/>
      <c r="F380" s="20"/>
    </row>
    <row r="381" spans="2:6" ht="12.75">
      <c r="B381"/>
      <c r="D381"/>
      <c r="E381" s="20"/>
      <c r="F381" s="20"/>
    </row>
    <row r="382" spans="2:6" ht="12.75">
      <c r="B382"/>
      <c r="D382"/>
      <c r="E382" s="20"/>
      <c r="F382" s="20"/>
    </row>
    <row r="383" spans="2:6" ht="12.75">
      <c r="B383"/>
      <c r="D383"/>
      <c r="E383" s="20"/>
      <c r="F383" s="20"/>
    </row>
    <row r="384" spans="2:6" ht="12.75">
      <c r="B384"/>
      <c r="D384"/>
      <c r="E384" s="20"/>
      <c r="F384" s="20"/>
    </row>
    <row r="385" spans="2:6" ht="12.75">
      <c r="B385"/>
      <c r="D385"/>
      <c r="E385" s="20"/>
      <c r="F385" s="20"/>
    </row>
    <row r="386" spans="2:6" ht="12.75">
      <c r="B386"/>
      <c r="D386"/>
      <c r="E386" s="20"/>
      <c r="F386" s="20"/>
    </row>
    <row r="387" spans="2:6" ht="12.75">
      <c r="B387"/>
      <c r="D387"/>
      <c r="E387" s="20"/>
      <c r="F387" s="20"/>
    </row>
    <row r="388" spans="2:6" ht="12.75">
      <c r="B388"/>
      <c r="D388"/>
      <c r="E388" s="20"/>
      <c r="F388" s="20"/>
    </row>
    <row r="389" spans="2:6" ht="12.75">
      <c r="B389"/>
      <c r="D389"/>
      <c r="E389" s="20"/>
      <c r="F389" s="20"/>
    </row>
    <row r="390" spans="2:6" ht="12.75">
      <c r="B390"/>
      <c r="D390"/>
      <c r="E390" s="20"/>
      <c r="F390" s="20"/>
    </row>
    <row r="391" spans="2:6" ht="12.75">
      <c r="B391"/>
      <c r="D391"/>
      <c r="E391" s="20"/>
      <c r="F391" s="20"/>
    </row>
    <row r="392" spans="2:6" ht="12.75">
      <c r="B392"/>
      <c r="D392"/>
      <c r="E392" s="20"/>
      <c r="F392" s="20"/>
    </row>
    <row r="393" spans="2:6" ht="12.75">
      <c r="B393"/>
      <c r="D393"/>
      <c r="E393" s="20"/>
      <c r="F393" s="20"/>
    </row>
    <row r="394" spans="2:6" ht="12.75">
      <c r="B394"/>
      <c r="D394"/>
      <c r="E394" s="20"/>
      <c r="F394" s="20"/>
    </row>
    <row r="395" spans="2:6" ht="12.75">
      <c r="B395"/>
      <c r="D395"/>
      <c r="E395" s="20"/>
      <c r="F395" s="20"/>
    </row>
    <row r="396" spans="2:6" ht="12.75">
      <c r="B396"/>
      <c r="D396"/>
      <c r="E396" s="20"/>
      <c r="F396" s="20"/>
    </row>
    <row r="397" spans="2:6" ht="12.75">
      <c r="B397"/>
      <c r="D397"/>
      <c r="E397" s="20"/>
      <c r="F397" s="20"/>
    </row>
    <row r="398" spans="2:6" ht="12.75">
      <c r="B398"/>
      <c r="D398"/>
      <c r="E398" s="20"/>
      <c r="F398" s="20"/>
    </row>
    <row r="399" spans="2:6" ht="12.75">
      <c r="B399"/>
      <c r="D399"/>
      <c r="E399" s="20"/>
      <c r="F399" s="20"/>
    </row>
    <row r="400" spans="2:6" ht="12.75">
      <c r="B400"/>
      <c r="D400"/>
      <c r="E400" s="20"/>
      <c r="F400" s="20"/>
    </row>
    <row r="401" spans="2:6" ht="12.75">
      <c r="B401"/>
      <c r="D401"/>
      <c r="E401" s="20"/>
      <c r="F401" s="20"/>
    </row>
    <row r="402" spans="2:6" ht="12.75">
      <c r="B402"/>
      <c r="D402"/>
      <c r="E402" s="20"/>
      <c r="F402" s="20"/>
    </row>
    <row r="403" spans="2:6" ht="12.75">
      <c r="B403"/>
      <c r="D403"/>
      <c r="E403" s="20"/>
      <c r="F403" s="20"/>
    </row>
    <row r="404" spans="2:6" ht="12.75">
      <c r="B404"/>
      <c r="D404"/>
      <c r="E404" s="20"/>
      <c r="F404" s="20"/>
    </row>
    <row r="405" spans="2:6" ht="12.75">
      <c r="B405"/>
      <c r="D405"/>
      <c r="E405" s="20"/>
      <c r="F405" s="20"/>
    </row>
    <row r="406" spans="2:6" ht="12.75">
      <c r="B406"/>
      <c r="D406"/>
      <c r="E406" s="20"/>
      <c r="F406" s="20"/>
    </row>
    <row r="407" spans="2:6" ht="12.75">
      <c r="B407"/>
      <c r="D407"/>
      <c r="E407" s="20"/>
      <c r="F407" s="20"/>
    </row>
    <row r="408" spans="2:6" ht="12.75">
      <c r="B408"/>
      <c r="D408"/>
      <c r="E408" s="20"/>
      <c r="F408" s="20"/>
    </row>
    <row r="409" spans="2:6" ht="12.75">
      <c r="B409"/>
      <c r="D409"/>
      <c r="E409" s="20"/>
      <c r="F409" s="20"/>
    </row>
    <row r="410" spans="2:6" ht="12.75">
      <c r="B410"/>
      <c r="D410"/>
      <c r="E410" s="20"/>
      <c r="F410" s="20"/>
    </row>
    <row r="411" spans="2:6" ht="12.75">
      <c r="B411"/>
      <c r="D411"/>
      <c r="E411" s="20"/>
      <c r="F411" s="20"/>
    </row>
    <row r="412" spans="2:6" ht="12.75">
      <c r="B412"/>
      <c r="D412"/>
      <c r="E412" s="20"/>
      <c r="F412" s="20"/>
    </row>
    <row r="413" spans="2:6" ht="12.75">
      <c r="B413"/>
      <c r="D413"/>
      <c r="E413" s="20"/>
      <c r="F413" s="20"/>
    </row>
    <row r="414" spans="2:6" ht="12.75">
      <c r="B414"/>
      <c r="D414"/>
      <c r="E414" s="20"/>
      <c r="F414" s="20"/>
    </row>
    <row r="415" spans="2:6" ht="12.75">
      <c r="B415"/>
      <c r="D415"/>
      <c r="E415" s="20"/>
      <c r="F415" s="20"/>
    </row>
    <row r="416" spans="2:6" ht="12.75">
      <c r="B416"/>
      <c r="D416"/>
      <c r="E416" s="20"/>
      <c r="F416" s="20"/>
    </row>
    <row r="417" spans="2:6" ht="12.75">
      <c r="B417"/>
      <c r="D417"/>
      <c r="E417" s="20"/>
      <c r="F417" s="20"/>
    </row>
    <row r="418" spans="2:6" ht="12.75">
      <c r="B418"/>
      <c r="D418"/>
      <c r="E418" s="20"/>
      <c r="F418" s="20"/>
    </row>
    <row r="419" spans="2:6" ht="12.75">
      <c r="B419"/>
      <c r="D419"/>
      <c r="E419" s="20"/>
      <c r="F419" s="20"/>
    </row>
    <row r="420" spans="2:6" ht="12.75">
      <c r="B420"/>
      <c r="D420"/>
      <c r="E420" s="20"/>
      <c r="F420" s="20"/>
    </row>
    <row r="421" spans="2:6" ht="12.75">
      <c r="B421"/>
      <c r="D421"/>
      <c r="E421" s="20"/>
      <c r="F421" s="20"/>
    </row>
    <row r="422" spans="2:6" ht="12.75">
      <c r="B422"/>
      <c r="D422"/>
      <c r="E422" s="20"/>
      <c r="F422" s="20"/>
    </row>
    <row r="423" spans="2:6" ht="12.75">
      <c r="B423"/>
      <c r="D423"/>
      <c r="E423" s="20"/>
      <c r="F423" s="20"/>
    </row>
    <row r="424" spans="2:6" ht="12.75">
      <c r="B424"/>
      <c r="D424"/>
      <c r="E424" s="20"/>
      <c r="F424" s="20"/>
    </row>
    <row r="425" spans="2:6" ht="12.75">
      <c r="B425"/>
      <c r="D425"/>
      <c r="E425" s="20"/>
      <c r="F425" s="20"/>
    </row>
    <row r="426" spans="2:6" ht="12.75">
      <c r="B426"/>
      <c r="D426"/>
      <c r="E426" s="20"/>
      <c r="F426" s="20"/>
    </row>
    <row r="427" spans="2:6" ht="12.75">
      <c r="B427"/>
      <c r="D427"/>
      <c r="E427" s="20"/>
      <c r="F427" s="20"/>
    </row>
    <row r="428" spans="2:6" ht="12.75">
      <c r="B428"/>
      <c r="D428"/>
      <c r="E428" s="20"/>
      <c r="F428" s="20"/>
    </row>
    <row r="429" spans="2:6" ht="12.75">
      <c r="B429"/>
      <c r="D429"/>
      <c r="E429" s="20"/>
      <c r="F429" s="20"/>
    </row>
    <row r="430" spans="2:6" ht="12.75">
      <c r="B430"/>
      <c r="D430"/>
      <c r="E430" s="20"/>
      <c r="F430" s="20"/>
    </row>
    <row r="431" spans="2:6" ht="12.75">
      <c r="B431"/>
      <c r="D431"/>
      <c r="E431" s="20"/>
      <c r="F431" s="20"/>
    </row>
    <row r="432" spans="2:6" ht="12.75">
      <c r="B432"/>
      <c r="D432"/>
      <c r="E432" s="20"/>
      <c r="F432" s="20"/>
    </row>
    <row r="433" spans="2:6" ht="12.75">
      <c r="B433"/>
      <c r="D433"/>
      <c r="E433" s="20"/>
      <c r="F433" s="20"/>
    </row>
    <row r="434" spans="2:6" ht="12.75">
      <c r="B434"/>
      <c r="D434"/>
      <c r="E434" s="20"/>
      <c r="F434" s="20"/>
    </row>
    <row r="435" spans="2:6" ht="12.75">
      <c r="B435"/>
      <c r="D435"/>
      <c r="E435" s="20"/>
      <c r="F435" s="20"/>
    </row>
    <row r="436" spans="2:6" ht="12.75">
      <c r="B436"/>
      <c r="D436"/>
      <c r="E436" s="20"/>
      <c r="F436" s="20"/>
    </row>
    <row r="437" spans="2:6" ht="12.75">
      <c r="B437"/>
      <c r="D437"/>
      <c r="E437" s="20"/>
      <c r="F437" s="20"/>
    </row>
    <row r="438" spans="2:6" ht="12.75">
      <c r="B438"/>
      <c r="D438"/>
      <c r="E438" s="20"/>
      <c r="F438" s="20"/>
    </row>
    <row r="439" spans="2:6" ht="12.75">
      <c r="B439"/>
      <c r="D439"/>
      <c r="E439" s="20"/>
      <c r="F439" s="20"/>
    </row>
    <row r="440" spans="2:6" ht="12.75">
      <c r="B440"/>
      <c r="D440"/>
      <c r="E440" s="20"/>
      <c r="F440" s="20"/>
    </row>
    <row r="441" spans="2:6" ht="12.75">
      <c r="B441"/>
      <c r="D441"/>
      <c r="E441" s="20"/>
      <c r="F441" s="20"/>
    </row>
    <row r="442" spans="2:6" ht="12.75">
      <c r="B442"/>
      <c r="D442"/>
      <c r="E442" s="20"/>
      <c r="F442" s="20"/>
    </row>
    <row r="443" spans="2:6" ht="12.75">
      <c r="B443"/>
      <c r="D443"/>
      <c r="E443" s="20"/>
      <c r="F443" s="20"/>
    </row>
    <row r="444" spans="2:6" ht="12.75">
      <c r="B444"/>
      <c r="D444"/>
      <c r="E444" s="20"/>
      <c r="F444" s="20"/>
    </row>
    <row r="445" spans="2:6" ht="12.75">
      <c r="B445"/>
      <c r="D445"/>
      <c r="E445" s="20"/>
      <c r="F445" s="20"/>
    </row>
    <row r="446" spans="2:6" ht="12.75">
      <c r="B446"/>
      <c r="D446"/>
      <c r="E446" s="20"/>
      <c r="F446" s="20"/>
    </row>
    <row r="447" spans="2:6" ht="12.75">
      <c r="B447"/>
      <c r="D447"/>
      <c r="E447" s="20"/>
      <c r="F447" s="20"/>
    </row>
    <row r="448" spans="2:6" ht="12.75">
      <c r="B448"/>
      <c r="D448"/>
      <c r="E448" s="20"/>
      <c r="F448" s="20"/>
    </row>
    <row r="449" spans="2:6" ht="12.75">
      <c r="B449"/>
      <c r="D449"/>
      <c r="E449" s="20"/>
      <c r="F449" s="20"/>
    </row>
    <row r="450" spans="2:6" ht="12.75">
      <c r="B450"/>
      <c r="D450"/>
      <c r="E450" s="20"/>
      <c r="F450" s="20"/>
    </row>
    <row r="451" spans="2:6" ht="12.75">
      <c r="B451"/>
      <c r="D451"/>
      <c r="E451" s="20"/>
      <c r="F451" s="20"/>
    </row>
    <row r="452" spans="2:6" ht="12.75">
      <c r="B452"/>
      <c r="D452"/>
      <c r="E452" s="20"/>
      <c r="F452" s="20"/>
    </row>
    <row r="453" spans="2:6" ht="12.75">
      <c r="B453"/>
      <c r="D453"/>
      <c r="E453" s="20"/>
      <c r="F453" s="20"/>
    </row>
    <row r="454" spans="2:6" ht="12.75">
      <c r="B454"/>
      <c r="D454"/>
      <c r="E454" s="20"/>
      <c r="F454" s="20"/>
    </row>
    <row r="455" spans="2:6" ht="12.75">
      <c r="B455"/>
      <c r="D455"/>
      <c r="E455" s="20"/>
      <c r="F455" s="20"/>
    </row>
    <row r="456" spans="2:6" ht="12.75">
      <c r="B456"/>
      <c r="D456"/>
      <c r="E456" s="20"/>
      <c r="F456" s="20"/>
    </row>
    <row r="457" spans="2:6" ht="12.75">
      <c r="B457"/>
      <c r="D457"/>
      <c r="E457" s="20"/>
      <c r="F457" s="20"/>
    </row>
    <row r="458" spans="2:6" ht="12.75">
      <c r="B458"/>
      <c r="D458"/>
      <c r="E458" s="20"/>
      <c r="F458" s="20"/>
    </row>
    <row r="459" spans="2:6" ht="12.75">
      <c r="B459"/>
      <c r="D459"/>
      <c r="E459" s="20"/>
      <c r="F459" s="20"/>
    </row>
    <row r="460" spans="2:6" ht="12.75">
      <c r="B460"/>
      <c r="D460"/>
      <c r="E460" s="20"/>
      <c r="F460" s="20"/>
    </row>
    <row r="461" spans="2:6" ht="12.75">
      <c r="B461"/>
      <c r="D461"/>
      <c r="E461" s="20"/>
      <c r="F461" s="20"/>
    </row>
    <row r="462" spans="2:6" ht="12.75">
      <c r="B462"/>
      <c r="D462"/>
      <c r="E462" s="20"/>
      <c r="F462" s="20"/>
    </row>
    <row r="463" spans="2:6" ht="12.75">
      <c r="B463"/>
      <c r="D463"/>
      <c r="E463" s="20"/>
      <c r="F463" s="20"/>
    </row>
    <row r="464" spans="2:6" ht="12.75">
      <c r="B464"/>
      <c r="D464"/>
      <c r="E464" s="20"/>
      <c r="F464" s="20"/>
    </row>
    <row r="465" spans="2:6" ht="12.75">
      <c r="B465"/>
      <c r="D465"/>
      <c r="E465" s="20"/>
      <c r="F465" s="20"/>
    </row>
    <row r="466" spans="2:6" ht="12.75">
      <c r="B466"/>
      <c r="D466"/>
      <c r="E466" s="20"/>
      <c r="F466" s="20"/>
    </row>
    <row r="467" spans="2:6" ht="12.75">
      <c r="B467"/>
      <c r="D467"/>
      <c r="E467" s="20"/>
      <c r="F467" s="20"/>
    </row>
    <row r="468" spans="2:6" ht="12.75">
      <c r="B468"/>
      <c r="D468"/>
      <c r="E468" s="20"/>
      <c r="F468" s="20"/>
    </row>
    <row r="469" spans="2:6" ht="12.75">
      <c r="B469"/>
      <c r="D469"/>
      <c r="E469" s="20"/>
      <c r="F469" s="20"/>
    </row>
    <row r="470" spans="2:6" ht="12.75">
      <c r="B470"/>
      <c r="D470"/>
      <c r="E470" s="20"/>
      <c r="F470" s="20"/>
    </row>
    <row r="471" spans="2:6" ht="12.75">
      <c r="B471"/>
      <c r="D471"/>
      <c r="E471" s="20"/>
      <c r="F471" s="20"/>
    </row>
    <row r="472" spans="2:6" ht="12.75">
      <c r="B472"/>
      <c r="D472"/>
      <c r="E472" s="20"/>
      <c r="F472" s="20"/>
    </row>
    <row r="473" spans="2:6" ht="12.75">
      <c r="B473"/>
      <c r="D473"/>
      <c r="E473" s="20"/>
      <c r="F473" s="20"/>
    </row>
    <row r="474" spans="2:6" ht="12.75">
      <c r="B474"/>
      <c r="D474"/>
      <c r="E474" s="20"/>
      <c r="F474" s="20"/>
    </row>
    <row r="475" spans="2:6" ht="12.75">
      <c r="B475"/>
      <c r="D475"/>
      <c r="E475" s="20"/>
      <c r="F475" s="20"/>
    </row>
    <row r="476" spans="2:6" ht="12.75">
      <c r="B476"/>
      <c r="D476"/>
      <c r="E476" s="20"/>
      <c r="F476" s="20"/>
    </row>
    <row r="477" spans="2:6" ht="12.75">
      <c r="B477"/>
      <c r="D477"/>
      <c r="E477" s="20"/>
      <c r="F477" s="20"/>
    </row>
    <row r="478" spans="2:6" ht="12.75">
      <c r="B478"/>
      <c r="D478"/>
      <c r="E478" s="20"/>
      <c r="F478" s="20"/>
    </row>
    <row r="479" spans="2:6" ht="12.75">
      <c r="B479"/>
      <c r="D479"/>
      <c r="E479" s="20"/>
      <c r="F479" s="20"/>
    </row>
    <row r="480" spans="2:6" ht="12.75">
      <c r="B480"/>
      <c r="D480"/>
      <c r="E480" s="20"/>
      <c r="F480" s="20"/>
    </row>
    <row r="481" spans="2:6" ht="12.75">
      <c r="B481"/>
      <c r="D481"/>
      <c r="E481" s="20"/>
      <c r="F481" s="20"/>
    </row>
    <row r="482" spans="2:6" ht="12.75">
      <c r="B482"/>
      <c r="D482"/>
      <c r="E482" s="20"/>
      <c r="F482" s="20"/>
    </row>
    <row r="483" spans="2:6" ht="12.75">
      <c r="B483"/>
      <c r="D483"/>
      <c r="E483" s="20"/>
      <c r="F483" s="20"/>
    </row>
    <row r="484" spans="2:6" ht="12.75">
      <c r="B484"/>
      <c r="D484"/>
      <c r="E484" s="20"/>
      <c r="F484" s="20"/>
    </row>
    <row r="485" spans="2:6" ht="12.75">
      <c r="B485"/>
      <c r="D485"/>
      <c r="E485" s="20"/>
      <c r="F485" s="20"/>
    </row>
    <row r="486" spans="2:6" ht="12.75">
      <c r="B486"/>
      <c r="D486"/>
      <c r="E486" s="20"/>
      <c r="F486" s="20"/>
    </row>
    <row r="487" spans="2:6" ht="12.75">
      <c r="B487"/>
      <c r="D487"/>
      <c r="E487" s="20"/>
      <c r="F487" s="20"/>
    </row>
    <row r="488" spans="2:6" ht="12.75">
      <c r="B488"/>
      <c r="D488"/>
      <c r="E488" s="20"/>
      <c r="F488" s="20"/>
    </row>
    <row r="489" spans="2:6" ht="12.75">
      <c r="B489"/>
      <c r="D489"/>
      <c r="E489" s="20"/>
      <c r="F489" s="20"/>
    </row>
    <row r="490" spans="2:6" ht="12.75">
      <c r="B490"/>
      <c r="D490"/>
      <c r="E490" s="20"/>
      <c r="F490" s="20"/>
    </row>
    <row r="491" spans="2:6" ht="12.75">
      <c r="B491"/>
      <c r="D491"/>
      <c r="E491" s="20"/>
      <c r="F491" s="20"/>
    </row>
    <row r="492" spans="2:6" ht="12.75">
      <c r="B492"/>
      <c r="D492"/>
      <c r="E492" s="20"/>
      <c r="F492" s="20"/>
    </row>
    <row r="493" spans="2:6" ht="12.75">
      <c r="B493"/>
      <c r="D493"/>
      <c r="E493" s="20"/>
      <c r="F493" s="20"/>
    </row>
    <row r="494" spans="2:6" ht="12.75">
      <c r="B494"/>
      <c r="D494"/>
      <c r="E494" s="20"/>
      <c r="F494" s="20"/>
    </row>
    <row r="495" spans="2:6" ht="12.75">
      <c r="B495"/>
      <c r="D495"/>
      <c r="E495" s="20"/>
      <c r="F495" s="20"/>
    </row>
    <row r="496" spans="2:6" ht="12.75">
      <c r="B496"/>
      <c r="D496"/>
      <c r="E496" s="20"/>
      <c r="F496" s="20"/>
    </row>
    <row r="497" spans="2:6" ht="12.75">
      <c r="B497"/>
      <c r="D497"/>
      <c r="E497" s="20"/>
      <c r="F497" s="20"/>
    </row>
  </sheetData>
  <sheetProtection/>
  <mergeCells count="3">
    <mergeCell ref="AF11:AJ11"/>
    <mergeCell ref="AF12:AJ12"/>
    <mergeCell ref="AF13:AJ13"/>
  </mergeCells>
  <printOptions horizontalCentered="1" verticalCentered="1"/>
  <pageMargins left="0.7874015748031497" right="0.7874015748031497" top="0.5" bottom="0.3" header="0.5118110236220472" footer="0.5118110236220472"/>
  <pageSetup fitToHeight="1" fitToWidth="1" horizontalDpi="300" verticalDpi="300" orientation="portrait" scale="47" r:id="rId4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0"/>
  <sheetViews>
    <sheetView tabSelected="1" zoomScale="90" zoomScaleNormal="90" zoomScalePageLayoutView="0" workbookViewId="0" topLeftCell="A1">
      <selection activeCell="R11" sqref="R11"/>
    </sheetView>
  </sheetViews>
  <sheetFormatPr defaultColWidth="11.421875" defaultRowHeight="12.75"/>
  <cols>
    <col min="1" max="1" width="5.57421875" style="230" customWidth="1"/>
    <col min="2" max="2" width="7.00390625" style="230" customWidth="1"/>
    <col min="3" max="3" width="9.00390625" style="230" customWidth="1"/>
    <col min="4" max="4" width="11.421875" style="230" customWidth="1"/>
    <col min="5" max="5" width="9.57421875" style="230" customWidth="1"/>
    <col min="6" max="6" width="9.8515625" style="230" bestFit="1" customWidth="1"/>
    <col min="7" max="7" width="8.140625" style="230" customWidth="1"/>
    <col min="8" max="8" width="11.421875" style="230" customWidth="1"/>
    <col min="9" max="9" width="7.28125" style="230" bestFit="1" customWidth="1"/>
    <col min="10" max="10" width="12.28125" style="230" bestFit="1" customWidth="1"/>
    <col min="11" max="11" width="8.8515625" style="230" customWidth="1"/>
    <col min="12" max="12" width="10.140625" style="230" customWidth="1"/>
    <col min="13" max="13" width="3.7109375" style="230" customWidth="1"/>
    <col min="14" max="14" width="12.421875" style="230" bestFit="1" customWidth="1"/>
    <col min="15" max="15" width="11.421875" style="230" customWidth="1"/>
    <col min="16" max="16" width="13.57421875" style="230" customWidth="1"/>
    <col min="17" max="16384" width="11.421875" style="230" customWidth="1"/>
  </cols>
  <sheetData>
    <row r="2" spans="2:14" ht="20.25" customHeight="1">
      <c r="B2" s="299" t="s">
        <v>67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31"/>
    </row>
    <row r="3" spans="1:13" ht="15.75" customHeight="1">
      <c r="A3" s="232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</row>
    <row r="4" ht="12.75">
      <c r="N4" s="230" t="s">
        <v>49</v>
      </c>
    </row>
    <row r="5" spans="14:15" ht="12.75">
      <c r="N5" s="233"/>
      <c r="O5" s="233"/>
    </row>
    <row r="17" ht="12.75">
      <c r="N17" s="230" t="s">
        <v>57</v>
      </c>
    </row>
    <row r="31" ht="18" customHeight="1"/>
    <row r="32" ht="15.75">
      <c r="C32" s="234" t="s">
        <v>48</v>
      </c>
    </row>
    <row r="33" ht="16.5" customHeight="1">
      <c r="C33" s="234" t="s">
        <v>66</v>
      </c>
    </row>
    <row r="34" spans="3:13" ht="57" customHeight="1">
      <c r="C34" s="300" t="s">
        <v>68</v>
      </c>
      <c r="D34" s="300"/>
      <c r="E34" s="300"/>
      <c r="F34" s="300"/>
      <c r="G34" s="300"/>
      <c r="H34" s="300"/>
      <c r="I34" s="300"/>
      <c r="J34" s="300"/>
      <c r="K34" s="300"/>
      <c r="L34" s="300"/>
      <c r="M34" s="300"/>
    </row>
    <row r="35" spans="2:13" ht="3.75" customHeight="1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customHeight="1" hidden="1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customHeight="1" hidden="1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customHeight="1" hidden="1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customHeight="1" hidden="1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customHeight="1" hidden="1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customHeight="1" hidden="1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customHeight="1" hidden="1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customHeight="1" hidden="1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customHeight="1" hidden="1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customHeight="1" hidden="1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customHeight="1" hidden="1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customHeight="1" hidden="1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2:13" ht="3.75" customHeight="1" hidden="1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2:13" ht="9.75" customHeight="1" hidden="1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3" ht="9.75" customHeight="1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ht="12.75">
      <c r="N53" s="238"/>
    </row>
    <row r="67" ht="12.75">
      <c r="N67" s="233"/>
    </row>
    <row r="78" ht="15.75">
      <c r="C78" s="234" t="s">
        <v>61</v>
      </c>
    </row>
    <row r="79" spans="3:13" ht="48.75" customHeight="1">
      <c r="C79" s="295" t="s">
        <v>69</v>
      </c>
      <c r="D79" s="295"/>
      <c r="E79" s="295"/>
      <c r="F79" s="295"/>
      <c r="G79" s="295"/>
      <c r="H79" s="295"/>
      <c r="I79" s="295"/>
      <c r="J79" s="295"/>
      <c r="K79" s="295"/>
      <c r="L79" s="295"/>
      <c r="M79" s="295"/>
    </row>
    <row r="80" ht="9" customHeight="1"/>
    <row r="81" spans="13:15" ht="44.25" customHeight="1">
      <c r="M81" s="239"/>
      <c r="O81" s="240"/>
    </row>
    <row r="82" spans="2:15" ht="46.5" customHeight="1">
      <c r="B82" s="297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39"/>
      <c r="O82" s="240"/>
    </row>
    <row r="83" spans="1:13" ht="4.5" customHeight="1">
      <c r="A83" s="235"/>
      <c r="B83" s="296" t="s">
        <v>57</v>
      </c>
      <c r="C83" s="296"/>
      <c r="D83" s="296"/>
      <c r="E83" s="296"/>
      <c r="F83" s="296"/>
      <c r="G83" s="296"/>
      <c r="H83" s="296"/>
      <c r="I83" s="296"/>
      <c r="J83" s="296"/>
      <c r="K83" s="296"/>
      <c r="L83" s="296"/>
      <c r="M83" s="239"/>
    </row>
    <row r="84" spans="2:13" ht="15" customHeight="1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4:15" ht="12.75">
      <c r="N87" s="240"/>
      <c r="O87" s="241"/>
    </row>
    <row r="110" ht="12.75">
      <c r="B110" s="230" t="s">
        <v>37</v>
      </c>
    </row>
  </sheetData>
  <sheetProtection/>
  <mergeCells count="5">
    <mergeCell ref="C79:M79"/>
    <mergeCell ref="B83:L83"/>
    <mergeCell ref="B82:L82"/>
    <mergeCell ref="B2:M3"/>
    <mergeCell ref="C34:M34"/>
  </mergeCells>
  <printOptions horizontalCentered="1"/>
  <pageMargins left="0.7480314960629921" right="0.7480314960629921" top="1.062992125984252" bottom="0.7480314960629921" header="0" footer="0.4724409448818898"/>
  <pageSetup fitToHeight="1" fitToWidth="1" horizontalDpi="600" verticalDpi="600" orientation="portrait" paperSize="9" scale="72" r:id="rId2"/>
  <headerFooter alignWithMargins="0">
    <oddFooter>&amp;L&amp;"Arial,Cursiva"&amp;9Fuente: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usuario</cp:lastModifiedBy>
  <cp:lastPrinted>2020-01-10T21:32:08Z</cp:lastPrinted>
  <dcterms:created xsi:type="dcterms:W3CDTF">1997-07-01T22:48:52Z</dcterms:created>
  <dcterms:modified xsi:type="dcterms:W3CDTF">2020-03-25T21:02:54Z</dcterms:modified>
  <cp:category/>
  <cp:version/>
  <cp:contentType/>
  <cp:contentStatus/>
</cp:coreProperties>
</file>